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8800" windowHeight="12435"/>
  </bookViews>
  <sheets>
    <sheet name="План" sheetId="1" r:id="rId1"/>
    <sheet name="Изменения" sheetId="2" r:id="rId2"/>
  </sheets>
  <definedNames>
    <definedName name="Z_59B74895_9D80_4BBE_A8CB_AE93D35D3558_.wvu.Cols" localSheetId="0" hidden="1">План!$M:$M,План!$O:$O</definedName>
    <definedName name="Z_C7296768_FCE0_48A0_8F7E_45ABAD27CDA0_.wvu.Cols" localSheetId="0" hidden="1">План!$M:$M,План!$O:$O</definedName>
  </definedNames>
  <calcPr calcId="145621"/>
  <customWorkbookViews>
    <customWorkbookView name="Мякиева - Личное представление" guid="{59B74895-9D80-4BBE-A8CB-AE93D35D3558}" mergeInterval="0" personalView="1" maximized="1" xWindow="-8" yWindow="-8" windowWidth="1936" windowHeight="1056" activeSheetId="1"/>
    <customWorkbookView name="Инна Мякиева - Личное представление" guid="{C7296768-FCE0-48A0-8F7E-45ABAD27CDA0}" mergeInterval="0" personalView="1" maximized="1" windowWidth="1916" windowHeight="855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" i="1" l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6" i="1"/>
  <c r="K15" i="1"/>
  <c r="K80" i="1" s="1"/>
</calcChain>
</file>

<file path=xl/sharedStrings.xml><?xml version="1.0" encoding="utf-8"?>
<sst xmlns="http://schemas.openxmlformats.org/spreadsheetml/2006/main" count="603" uniqueCount="209">
  <si>
    <t>на период 01.10.2014-30.09.2015</t>
  </si>
  <si>
    <t>Наименование заказчика</t>
  </si>
  <si>
    <t>УТВЕРЖДАЮ</t>
  </si>
  <si>
    <t>Адрес местонахождения заказчика</t>
  </si>
  <si>
    <t>Москва, Научный проезд, д. 12, офис 70</t>
  </si>
  <si>
    <t>Телефон заказчика</t>
  </si>
  <si>
    <t>(495) 334-16-03</t>
  </si>
  <si>
    <t>Генеральный директор ООО "СИТЭК"</t>
  </si>
  <si>
    <t>Электронная почта заказчика</t>
  </si>
  <si>
    <t>sitek33@mail.ru</t>
  </si>
  <si>
    <t>Ахметов А.А.</t>
  </si>
  <si>
    <t>ИНН</t>
  </si>
  <si>
    <t>А.А. Ахметов</t>
  </si>
  <si>
    <t>КПП</t>
  </si>
  <si>
    <t>ОКАТО</t>
  </si>
  <si>
    <t>Код ОКВЭД</t>
  </si>
  <si>
    <t>Код ОКДП</t>
  </si>
  <si>
    <t>Предмет договора</t>
  </si>
  <si>
    <t>Минимально необходимые требования, предъявляемые к закупаемым товарам, работам, услугам</t>
  </si>
  <si>
    <t>Единица измерения</t>
  </si>
  <si>
    <t>сведения о кол-ве (объеме)</t>
  </si>
  <si>
    <t>Регион поставки</t>
  </si>
  <si>
    <t>Начальная максимальная цена (руб)</t>
  </si>
  <si>
    <t>Планируемая</t>
  </si>
  <si>
    <t>Срок исполнения договора</t>
  </si>
  <si>
    <t>Срок действия договора</t>
  </si>
  <si>
    <t>Способ закупки</t>
  </si>
  <si>
    <t>закупка в электронной форме</t>
  </si>
  <si>
    <t>№</t>
  </si>
  <si>
    <t>Код по ОКЕИ</t>
  </si>
  <si>
    <t>наименование</t>
  </si>
  <si>
    <t>Код по ОКАТО</t>
  </si>
  <si>
    <t>дата размещения</t>
  </si>
  <si>
    <t>п/п</t>
  </si>
  <si>
    <t>извещения</t>
  </si>
  <si>
    <t>(месяц, год)</t>
  </si>
  <si>
    <t>70.20.2</t>
  </si>
  <si>
    <t>Аренда нежилого помещения</t>
  </si>
  <si>
    <t>Аренда офисного помещения по адресу: г. Москва, Научный проезд, д. 12 офис 54</t>
  </si>
  <si>
    <t>055</t>
  </si>
  <si>
    <t>кв. м</t>
  </si>
  <si>
    <t>Москва</t>
  </si>
  <si>
    <t>Закупка у единственного поставщика</t>
  </si>
  <si>
    <t>нет</t>
  </si>
  <si>
    <t>70.32</t>
  </si>
  <si>
    <t>Техническое обслуживание нежилого помещения</t>
  </si>
  <si>
    <t>Техническое обслуживание офисного помещения по адресу: г. Москва, Научный проезд, д. 12 офис 54</t>
  </si>
  <si>
    <t>усл.ед.</t>
  </si>
  <si>
    <t>90.03</t>
  </si>
  <si>
    <t>4540030, 9319000</t>
  </si>
  <si>
    <t>Работы по благоустройству</t>
  </si>
  <si>
    <r>
      <t>Расчистка от снега подъездных дорог к ГРС, территории ГРС,</t>
    </r>
    <r>
      <rPr>
        <sz val="10"/>
        <rFont val="Times New Roman"/>
        <family val="1"/>
        <charset val="204"/>
      </rPr>
      <t xml:space="preserve"> крыш блок-зданий ГРС, </t>
    </r>
    <r>
      <rPr>
        <sz val="10"/>
        <color theme="1"/>
        <rFont val="Times New Roman"/>
        <family val="1"/>
        <charset val="204"/>
      </rPr>
      <t>площадки кранового узла, подъездных дорог площадки кранового узла  газопровода для газоснабжения Южноуральской ГРЭС-2</t>
    </r>
  </si>
  <si>
    <t>Челябинская обл., г. Южноуральск</t>
  </si>
  <si>
    <t>Запрос предложений</t>
  </si>
  <si>
    <t>шт</t>
  </si>
  <si>
    <t>Запрос котировок</t>
  </si>
  <si>
    <t>51.47.23</t>
  </si>
  <si>
    <t>2522330, 2109, 2221, 3010, 3699010, 3000000</t>
  </si>
  <si>
    <t>Покупка канцтоваров</t>
  </si>
  <si>
    <t>30.01.2</t>
  </si>
  <si>
    <t>Покупка расходных материалов</t>
  </si>
  <si>
    <t>Покупка расходных материалов (картриджей) для оргтехники</t>
  </si>
  <si>
    <t>72.2</t>
  </si>
  <si>
    <t>Информационное обеспечение</t>
  </si>
  <si>
    <t>Покупка лицензионного программного обеспечения для  компьютеров</t>
  </si>
  <si>
    <t>60.30.2</t>
  </si>
  <si>
    <t>Аренда газопровода</t>
  </si>
  <si>
    <t>Аренда участка газопровода ОАО "ИНТЕР РАО электрогенерация"</t>
  </si>
  <si>
    <t>Аренда участка газопровода ООО "Газпром газораспределение Томск"</t>
  </si>
  <si>
    <t>г. Томск</t>
  </si>
  <si>
    <t>Аренда офисного помещения по адресу: г. Москва, Научный проезд, д. 12 офис 70</t>
  </si>
  <si>
    <t>Техническое обслуживание офисного помещения по адресу: г. Москва, Научный проезд, д. 12 офис 70</t>
  </si>
  <si>
    <t>74.30.9, 29.56.9</t>
  </si>
  <si>
    <t>Эксплуатация и ТО</t>
  </si>
  <si>
    <t>Эксплуатация и техническое обслуживание газопровода "Южноуральская ГРЭС"</t>
  </si>
  <si>
    <t>г. Екатеринбург</t>
  </si>
  <si>
    <t>Эксплуатация и техническое обслуживание газопровода ООО "Газпром Трансгаз Санкт-Петербург" Энергоблок № 1</t>
  </si>
  <si>
    <t>г. Калининград</t>
  </si>
  <si>
    <t>Эксплуатация и техническое обслуживание газопровода ООО "Газпром Трансгаз Санкт-Петербург" Энергоблок № 2</t>
  </si>
  <si>
    <t>Белгородская обл., г. Губкин</t>
  </si>
  <si>
    <t>декабрь 2014</t>
  </si>
  <si>
    <t>июнь 2015</t>
  </si>
  <si>
    <t>Расчистка от снега подъездных дорог к площадкам крановых узлов газопровода-отвода и ГРС "Чернореченский цементный завод"</t>
  </si>
  <si>
    <t>Новосибирская область,г. Искитим</t>
  </si>
  <si>
    <t xml:space="preserve">июнь 2015  </t>
  </si>
  <si>
    <t>52.48.11</t>
  </si>
  <si>
    <t>Покупка мебели</t>
  </si>
  <si>
    <t>Покупка офисной мебели</t>
  </si>
  <si>
    <t>63.23.64</t>
  </si>
  <si>
    <t>Услуги спасателей</t>
  </si>
  <si>
    <t>Услуги спасателей (бригад быстрого реагирования) в чрезвычайной ситуации на объекте Калининградская ТЭЦ-2, энергоблок № 1</t>
  </si>
  <si>
    <t>45.24.4</t>
  </si>
  <si>
    <t>4510520, 4527321</t>
  </si>
  <si>
    <t>Диагностические работы</t>
  </si>
  <si>
    <t>Приборно-водолазное обследование подводных переходов через реки Старая Преголя и Новая Преголя газопроводов-отводов к энергоблокам №1 (основная и резервная нитки) и №2 Калининградской ТЭЦ-2</t>
  </si>
  <si>
    <t>Калининградская область, Гурьевский район</t>
  </si>
  <si>
    <t>Аренда участка газопровода ОАО "Искитимцемент"</t>
  </si>
  <si>
    <t>Новосибирская область, г. Искитим</t>
  </si>
  <si>
    <t>45.23</t>
  </si>
  <si>
    <t>4510400, 4510432, 4540361, 4540368, 4540380, 4560225</t>
  </si>
  <si>
    <t>Ремонтно-восстановительные работы</t>
  </si>
  <si>
    <t>Восстановительный ремонт подъездных дорог к крановым узлам магистральных газопроводов-отводов к Калининградской ТЭЦ-2</t>
  </si>
  <si>
    <t>45.11.2</t>
  </si>
  <si>
    <t xml:space="preserve">4510400, 4540323, 4540361, 4510465, 4510410, 4510207, 4560224,27 </t>
  </si>
  <si>
    <t>Ремонтно-восстановительные работы, благоустройство</t>
  </si>
  <si>
    <t>Восстановление дренажных систем с последующим благоустройством крановых узлов магистральных газопроводов-отводов к Калининградской ТЭЦ-2. Разработка ППР.</t>
  </si>
  <si>
    <t>74.20</t>
  </si>
  <si>
    <t>4560249, 4590656</t>
  </si>
  <si>
    <t>Ремонтные работы</t>
  </si>
  <si>
    <t>Модернизация охранной сигнализации и реконструкция  системы освещения площадки ГРС "Чернореченский цементный завод"</t>
  </si>
  <si>
    <t>март 2015</t>
  </si>
  <si>
    <t>апрель 2015.</t>
  </si>
  <si>
    <t xml:space="preserve">декабрь 2015  </t>
  </si>
  <si>
    <t>Аренда офисного помещения по адресу: г. Москва, Научный проезд, д. 12 офис 1</t>
  </si>
  <si>
    <t>Техническое обслуживание офисного помещения по адресу: г. Москва, Научный проезд, д. 12 офис 1</t>
  </si>
  <si>
    <t>4510201, 4510202, 4510204</t>
  </si>
  <si>
    <t>Удаление ДКР, обработка почвы химическими реагентами в охранной зоне газопровода от ГРС до Южноуральской ГРЭС-2</t>
  </si>
  <si>
    <t>45.11</t>
  </si>
  <si>
    <t xml:space="preserve">4510400, 4540323, 4540361, 4510465, 4510410, 4560224,27 </t>
  </si>
  <si>
    <t>Работы по благоустройству территории ГРС и площадки кранового узла, по восстановлению ограждения площадки кранового узла, ремонт дренажной системы ГРС газопровода для газоснабжения Южноуральской ГРЭС-2. Разработка ППР</t>
  </si>
  <si>
    <t>45.24.3</t>
  </si>
  <si>
    <t>4527321, 4510523, 4510423, 4520153</t>
  </si>
  <si>
    <t>Расчистка размывов берегов и вдольбереговой акватории рек Старая Преголя и Новая Преголя на участке подводных переходов газопроводов-отводов к энергоблокам №1 (основная и резервная нитки) и №2 Калининградской ТЭЦ-2</t>
  </si>
  <si>
    <t>4510400, 4510430, 4540361, 4540368</t>
  </si>
  <si>
    <t>Ремонтно - восстановительные работы</t>
  </si>
  <si>
    <t>Обустройство переездов подъездных и межпоселковых дорог через магистральный газопровод-отвод "Острогожск - Лебединский ГОК" и магистральный газопровод к ГРС "Лебединский ГОК"</t>
  </si>
  <si>
    <t>апрель 2015</t>
  </si>
  <si>
    <t xml:space="preserve">декабрь 2015 </t>
  </si>
  <si>
    <t>Ремонт знаков "Закрепление трассы газопровода на местности", информационных табличек на крановых площадках  и установка запрещающих знаков в местах переездов межпоселковых дорог через магистральный газопровод-отвод "Острогожск - Лебединский ГОК"</t>
  </si>
  <si>
    <t>декабрь 2015</t>
  </si>
  <si>
    <t>45.31</t>
  </si>
  <si>
    <t>4510416, 4540030, 4530159</t>
  </si>
  <si>
    <t>Ремонт контура заземления внутриплощадочных запорных устройств и оборудования магистрального газопровода-отвода "Острогожск - Лебединский ГОК"</t>
  </si>
  <si>
    <t>Вырубка и расчистка ДКР в охранных зонах магистрального газопровода к ГРС "Лебединский ГОК" и магистрального газопровода-отвода "Острогожск-Лебединский ГОК" с обработкой химреактивами</t>
  </si>
  <si>
    <t>Удаление ДКР в охранной зоне газопровода-отвода к ГРС "Чернореченский цементный завод"</t>
  </si>
  <si>
    <t xml:space="preserve">Комплекс диагностических обследований и экспертиза промышленной безопасности ГРС "Чернореченский цементный завод" </t>
  </si>
  <si>
    <t>4540380, 4540361, 4510226</t>
  </si>
  <si>
    <t>Обустройство переездов межпоселковых дорог через газопровод-отвод к ГРС "Чернореченский цементный завод" 0,2 км и 11,95 км</t>
  </si>
  <si>
    <t>Аренда офисного помещения по адресу: г. Москва, Научный проезд, д. 12 офис 85</t>
  </si>
  <si>
    <t>Техническое обслуживание офисного помещения по адресу: г. Москва, Научный проезд, д. 12 офис 85</t>
  </si>
  <si>
    <t>4510400, 4510430, 4540361, 4540368, 4560225</t>
  </si>
  <si>
    <t>Обустройство переезда межпоселковой дороги через газопровод для газоснабжения Южноуральской ГРЭС-2. Разработка ППР</t>
  </si>
  <si>
    <t>4510400, 4510432, 4540362, 4540380, 4560225</t>
  </si>
  <si>
    <t>Восстановительный ремонт подъездных дорог к ГРС и площадке кранового узла, обустройство разворотной площадки кранового узла газопровода для газоснабжения Южноуральской ГРЭС-2. Разработка ППР</t>
  </si>
  <si>
    <t>45.44</t>
  </si>
  <si>
    <t>4540150, 4540296</t>
  </si>
  <si>
    <t>Окраска ограждения и внутриплощадочного оборудования ГРС газопровода для газоснабжения Южноуральской ГРЭС-2</t>
  </si>
  <si>
    <t>45.32</t>
  </si>
  <si>
    <t>4540111, 4510416, 4510463, 4540030, 4510427</t>
  </si>
  <si>
    <t>Восстановление изоляции перехода земля-воздух на территории ЮГРЭС-2 газопровода для газоснабжения Южноуральской ГРЭС-2</t>
  </si>
  <si>
    <t>45.21</t>
  </si>
  <si>
    <t>Восстановление информационных знаков на ГРС и площадке кранового узла, восстановление опознавательных знаков вдоль трассы подземного газопровода для газоснабжения Южноуральской ГРЭС-2</t>
  </si>
  <si>
    <t>Ремонтно-восстановительные работы берегоукрепительных сооружений подводного перехода магистральных газопроводов-отводов к энергоблоку №1 и энергоблоку №2 Калининградской ТЭЦ-2 на реках Старая Преголя и Новая Преголя. Разработка ППР.</t>
  </si>
  <si>
    <t>4510400, 4510432, 4540362</t>
  </si>
  <si>
    <t>Благоустройство внешнего периметра ограждения ГРС "Лебединский ГОК"</t>
  </si>
  <si>
    <t>май 2015</t>
  </si>
  <si>
    <t>Благоустройство внешних периметров ограждений площадок технологического оборудования магистрального газопровода-отвода "Острогожск - Лебединский ГОК"</t>
  </si>
  <si>
    <t>Восстановление проектного заглубления и обваловка участков газопровода-отвода к ГРС "Чернореченский цементный завод" от 0 км до 3 км и от 9,4 км до ПК 11,9 км</t>
  </si>
  <si>
    <t>45.11, 45.4</t>
  </si>
  <si>
    <t>4510205, 4510207, 4540150, 4540296</t>
  </si>
  <si>
    <t>Восстановление дренажной системы площадки ГРС, покраска ограждений и внутриплощадочного технологического оборудования на площадках ГРС "Чернореченский цементный завод" охранного кранового узла и узла подключения газопровода-отвода к ГРС "Чернореченский цементный завод"</t>
  </si>
  <si>
    <t>4510400, 4510221</t>
  </si>
  <si>
    <t>Обустройство разворотной площадки у кранового узла подключения газопровода-отвода к ГРС "Чернореченский цементный завод"</t>
  </si>
  <si>
    <t>Работы по восстановлению полотна подъездных дорог к дому оператора и площадке  ГРС "Чернореченский цементный завод"</t>
  </si>
  <si>
    <t>4510400, 4510432, 4540362, 4540380</t>
  </si>
  <si>
    <t>Ремонт вдольтрассового проезда к крановым узлам №382 и №383 магистрального газопровода-отвода "Осрогожск-Лебединский ГОК"</t>
  </si>
  <si>
    <t>4510411, 4510416, 4510463</t>
  </si>
  <si>
    <r>
      <rPr>
        <sz val="10"/>
        <rFont val="Times New Roman"/>
        <family val="1"/>
        <charset val="204"/>
      </rPr>
      <t>Восстановление проектной глубины заложения участков магистрального газопровода к ГРС "Лебединский ГОК" и магистрального газопровода-отвода "Острогожск-Лебединский ГОК". Частичная замена изношенных утяжеляющих грузов УБО-3 и установка дополнительных на участке ПК 26+51 - ПК 27+80</t>
    </r>
    <r>
      <rPr>
        <b/>
        <sz val="10"/>
        <rFont val="Times New Roman"/>
        <family val="1"/>
        <charset val="204"/>
      </rPr>
      <t xml:space="preserve"> </t>
    </r>
  </si>
  <si>
    <t>Аренда участка газопровода ЗАО "Межрегионэнергострой" энергоблок № 2</t>
  </si>
  <si>
    <t>Удаление древесно-кустарниковой растительности по трассе магистральных газопроводов-отводов к Калининградской ТЭЦ-2 с последующей обработкой химическими реагентами</t>
  </si>
  <si>
    <t>45.4</t>
  </si>
  <si>
    <t>Ремонт  здания  редуцирования и здания узла коммерческого учета газа ГРС "Лебединский ГОК". Ремонт производственных помещений в здании редуцирования.</t>
  </si>
  <si>
    <t xml:space="preserve"> июль 2015 г.</t>
  </si>
  <si>
    <t>Благоустройство площадки узла приема очистных устройств (УПОУ) магистрального газопровода-отвода "Острогожск - Лебединский ГОК"</t>
  </si>
  <si>
    <t>Покраска ограждений и технологического оборудования на крановых узлах магистрального газопровода-отвода "Острогожск-Лебединский ГОК"</t>
  </si>
  <si>
    <t>45.2</t>
  </si>
  <si>
    <t xml:space="preserve"> июль 2015 </t>
  </si>
  <si>
    <t>4530017, 4530015, 4510426, 4510427, 4510416, 4560234</t>
  </si>
  <si>
    <t xml:space="preserve">Работы по установке задвижки, изолирующих фланцев, укладке и подключению перемычки между газопроводами Ду500 и Ду600 у территории  ГРС "Чернореченский цементный завод". Разработка проекта производства работ </t>
  </si>
  <si>
    <t>Обустройство внешних периметров площадок крановых узлов газопровода-отвода и ГРС "Чернореченский цементный завод"</t>
  </si>
  <si>
    <t>4540109, 4540148, 4540298</t>
  </si>
  <si>
    <t xml:space="preserve">Ремонт изоляционного покрытия подземной части газопроводов, коллекторов, мест выхода надземной части газопроводов на ГРС "Чернореченский цементный завод" </t>
  </si>
  <si>
    <t>Ремонт изоляционного покрытия подземной части газопроводов, коллекторов, мест выхода надземной части</t>
  </si>
  <si>
    <t>июль 2015</t>
  </si>
  <si>
    <t xml:space="preserve">январь 2016 </t>
  </si>
  <si>
    <t>Благоустройство подъездной дороги и разворотной площадки  к узлу приема очистных устройств (УПОУ) магистрального газопровода-отвода "Острогожск - Лебединский ГОК"</t>
  </si>
  <si>
    <t>4510411, 4510416, 4510462, 4510463, 4510427, 4560224</t>
  </si>
  <si>
    <t>Восстановление проектного заглубления и обваловка участка газопровода к Южноуральской ГРЭС-2. Разработка ППР</t>
  </si>
  <si>
    <t>4530656, 4530652</t>
  </si>
  <si>
    <t>Реконструкция системы освещения территории ГРС "Лебединский ГОК"</t>
  </si>
  <si>
    <t xml:space="preserve"> август 2015</t>
  </si>
  <si>
    <t xml:space="preserve">февраль 2016 </t>
  </si>
  <si>
    <t>Восстановление изоляционного покрытия бетонных, металлических оснований опор надземной части магистрального газопровода-отвода "Острогожск - Лебединский ГОК", узлов, соединений, оборудования от воздействия масел, конденсата и других жидкостей</t>
  </si>
  <si>
    <t xml:space="preserve"> сентябрь 2015 </t>
  </si>
  <si>
    <t>апрель 2016 г.</t>
  </si>
  <si>
    <t>45.25</t>
  </si>
  <si>
    <t>4530204, 4530185</t>
  </si>
  <si>
    <t>Замена стержневых элементов креплений фланцевых соединений, монтаж дополнительных резьбовых креплений бетонных оснований опор и фундаментных блоков надземной части магистрального газопровода-отвода "Острогожск - Лебединский ГОК"</t>
  </si>
  <si>
    <t>март 2016</t>
  </si>
  <si>
    <t>.</t>
  </si>
  <si>
    <t>ПЛАН ЗАКУПОК товаров (работ, услуг)</t>
  </si>
  <si>
    <t>да</t>
  </si>
  <si>
    <t>В план закупок ООО "Ситэк" 27 ноября 2014 г. внесены следующие изменения:</t>
  </si>
  <si>
    <t>2. Строка "10" - процедура "Аренда газопровода" - срок планируемой даты размещения извещения изменен с ноября 2014 г. на декабрь 2014 г.</t>
  </si>
  <si>
    <t>1.  Удалена строка "8" - Покупка ГСМ - Отмена закупки</t>
  </si>
  <si>
    <t>Генеральный  директор ООО "Ситэк"</t>
  </si>
  <si>
    <t>Общество с ограниченной ответственностью "Ситэк"</t>
  </si>
  <si>
    <t>Расчистка от снега подъездных дорог к крановым площадкаи магистрального газопровода к ГРС "Лебединский ГОК", магистрального газопровода-отвода "Острогожск-Лебединский ГОК". Расчистка от снега площадки ГРС "Лебединский ГОК" и площадок крановых узлов.</t>
  </si>
  <si>
    <t>Восстановление переходов газопровода через ж/д и а/д  на 91 км,93 км, 93,5 км магистрального газопровода-отвода "Острогожск-Лебединский ГОК"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</si>
</sst>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mmmm\ yyyy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1" xfId="0" applyFont="1" applyBorder="1"/>
    <xf numFmtId="0" fontId="5" fillId="0" borderId="0" xfId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  <xf numFmtId="1" fontId="4" fillId="0" borderId="7" xfId="0" applyNumberFormat="1" applyFont="1" applyBorder="1" applyAlignment="1">
      <alignment horizontal="center" vertical="center"/>
    </xf>
    <xf numFmtId="4" fontId="4" fillId="0" borderId="7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7" xfId="0" applyFont="1" applyFill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" fontId="4" fillId="0" borderId="7" xfId="2" applyNumberFormat="1" applyFont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165" fontId="4" fillId="0" borderId="7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4" fontId="6" fillId="0" borderId="7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Border="1"/>
    <xf numFmtId="0" fontId="8" fillId="0" borderId="0" xfId="0" applyFont="1"/>
    <xf numFmtId="0" fontId="8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usernames" Target="revisions/userName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3.xml"/><Relationship Id="rId13" Type="http://schemas.openxmlformats.org/officeDocument/2006/relationships/revisionLog" Target="revisionLog12.xml"/><Relationship Id="rId17" Type="http://schemas.openxmlformats.org/officeDocument/2006/relationships/revisionLog" Target="revisionLog2.xml"/><Relationship Id="rId12" Type="http://schemas.openxmlformats.org/officeDocument/2006/relationships/revisionLog" Target="revisionLog1.xml"/><Relationship Id="rId16" Type="http://schemas.openxmlformats.org/officeDocument/2006/relationships/revisionLog" Target="revisionLog15.xml"/><Relationship Id="rId15" Type="http://schemas.openxmlformats.org/officeDocument/2006/relationships/revisionLog" Target="revisionLog14.xml"/><Relationship Id="rId14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10F192F-2E73-4C9A-BA56-67740CC13B46}" diskRevisions="1" revisionId="34" version="8" protected="1">
  <header guid="{95E8D90C-2E99-4E3F-8F57-72E0DEC2A1D1}" dateTime="2014-11-27T15:28:01" maxSheetId="3" userName="Инна Мякиева" r:id="rId12">
    <sheetIdMap count="2">
      <sheetId val="1"/>
      <sheetId val="2"/>
    </sheetIdMap>
  </header>
  <header guid="{85EA37A0-BB54-4029-A07A-9B8CF1FD0831}" dateTime="2014-11-27T15:30:04" maxSheetId="3" userName="Инна Мякиева" r:id="rId13" minRId="24" maxRId="25">
    <sheetIdMap count="2">
      <sheetId val="1"/>
      <sheetId val="2"/>
    </sheetIdMap>
  </header>
  <header guid="{C00746FB-480D-49B3-A4B1-6C001F7D3F02}" dateTime="2014-11-27T16:37:26" maxSheetId="3" userName="Инна Мякиева" r:id="rId14" minRId="26" maxRId="28">
    <sheetIdMap count="2">
      <sheetId val="1"/>
      <sheetId val="2"/>
    </sheetIdMap>
  </header>
  <header guid="{BB07A3AD-C176-4EA0-A420-37C867DF08CC}" dateTime="2014-11-27T16:52:41" maxSheetId="3" userName="Инна Мякиева" r:id="rId15" minRId="29">
    <sheetIdMap count="2">
      <sheetId val="1"/>
      <sheetId val="2"/>
    </sheetIdMap>
  </header>
  <header guid="{AAB48834-2506-4EA2-9C47-5C9168F42B03}" dateTime="2014-11-27T17:40:51" maxSheetId="3" userName="Инна Мякиева" r:id="rId16" minRId="30" maxRId="31">
    <sheetIdMap count="2">
      <sheetId val="1"/>
      <sheetId val="2"/>
    </sheetIdMap>
  </header>
  <header guid="{19A3DD80-5594-4230-976B-8199C65DB18F}" dateTime="2014-12-05T10:48:54" maxSheetId="3" userName="Инна Мякиева" r:id="rId17" minRId="32">
    <sheetIdMap count="2">
      <sheetId val="1"/>
      <sheetId val="2"/>
    </sheetIdMap>
  </header>
  <header guid="{310F192F-2E73-4C9A-BA56-67740CC13B46}" dateTime="2014-12-05T10:49:51" maxSheetId="3" userName="Инна Мякиева" r:id="rId18" minRId="34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296768-FCE0-48A0-8F7E-45ABAD27CDA0}" action="delete"/>
  <rdn rId="0" localSheetId="1" customView="1" name="Z_C7296768_FCE0_48A0_8F7E_45ABAD27CDA0_.wvu.Cols" hidden="1" oldHidden="1">
    <formula>План!$M:$M,План!$O:$O</formula>
    <oldFormula>План!$M:$M,План!$O:$O</oldFormula>
  </rdn>
  <rcv guid="{C7296768-FCE0-48A0-8F7E-45ABAD27CDA0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4" sId="1" ref="A21:XFD21" action="deleteRow">
    <undo index="2" exp="area" ref3D="1" dr="$O$1:$O$1048576" dn="Z_59B74895_9D80_4BBE_A8CB_AE93D35D3558_.wvu.Cols" sId="1"/>
    <undo index="1" exp="area" ref3D="1" dr="$M$1:$M$1048576" dn="Z_59B74895_9D80_4BBE_A8CB_AE93D35D3558_.wvu.Cols" sId="1"/>
    <undo index="2" exp="area" ref3D="1" dr="$O$1:$O$1048576" dn="Z_C7296768_FCE0_48A0_8F7E_45ABAD27CDA0_.wvu.Cols" sId="1"/>
    <undo index="1" exp="area" ref3D="1" dr="$M$1:$M$1048576" dn="Z_C7296768_FCE0_48A0_8F7E_45ABAD27CDA0_.wvu.Cols" sId="1"/>
    <rfmt sheetId="1" xfDxf="1" sqref="A21:XFD21" start="0" length="0">
      <dxf>
        <font>
          <sz val="10"/>
          <name val="Times New Roman"/>
          <scheme val="none"/>
        </font>
        <alignment vertical="top" readingOrder="0"/>
      </dxf>
    </rfmt>
    <rcc rId="0" sId="1" dxf="1">
      <nc r="A21">
        <v>8</v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50.5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v>5050010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 t="inlineStr">
        <is>
          <t>Покупка ГСМ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1" t="inlineStr">
        <is>
          <t>Покупка горюче-смазочных материалов (топливо)</t>
        </is>
      </nc>
      <n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1">
        <v>112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1" t="inlineStr">
        <is>
          <t>литр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>
        <v>4000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">
        <v>45293590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" t="inlineStr">
        <is>
          <t>Москва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">
        <f>150000*1.25</f>
      </nc>
      <ndxf>
        <numFmt numFmtId="4" formatCode="#,##0.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L21">
        <v>41944</v>
      </nc>
      <ndxf>
        <numFmt numFmtId="165" formatCode="[$-419]mmmm\ yyyy;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M21">
        <v>41944</v>
      </nc>
      <ndxf>
        <numFmt numFmtId="165" formatCode="[$-419]mmmm\ yyyy;@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N21">
        <v>42278</v>
      </nc>
      <ndxf>
        <numFmt numFmtId="165" formatCode="[$-419]mmmm\ yyyy;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O21">
        <v>42309</v>
      </nc>
      <ndxf>
        <numFmt numFmtId="165" formatCode="[$-419]mmmm\ yyyy;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1" t="inlineStr">
        <is>
          <t>Запрос предложений</t>
        </is>
      </nc>
      <n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1" t="inlineStr">
        <is>
          <t>да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25" sId="1" numFmtId="19">
    <oc r="L22">
      <v>41944</v>
    </oc>
    <nc r="L22">
      <v>41974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" sId="2">
    <oc r="A1" t="inlineStr">
      <is>
        <t>В план закупок ООО "Ситэк" 11 ноября 2014 г. внесены следующие изменения:</t>
      </is>
    </oc>
    <nc r="A1" t="inlineStr">
      <is>
        <t>В план закупок ООО "Ситэк" 27 ноября 2014 г. внесены следующие изменения:</t>
      </is>
    </nc>
  </rcc>
  <rcc rId="27" sId="2">
    <oc r="A3" t="inlineStr">
      <is>
        <t>С момента внесения изменений эти закупки будут проводиться в электронной форме.</t>
      </is>
    </oc>
    <nc r="A3" t="inlineStr">
      <is>
        <t>2. Строка "10" - процедура "Аренда газопровода" - срок планируемой даты размещения извещения изменен с ноября 2014 г. на декабрь 2014 г.</t>
      </is>
    </nc>
  </rcc>
  <rcc rId="28" sId="2">
    <oc r="A2" t="inlineStr">
      <is>
        <t>1.  В строке "5", "6", "8", "18" изменена форма закупки.</t>
      </is>
    </oc>
    <nc r="A2" t="inlineStr">
      <is>
        <t xml:space="preserve">1.  Удалена строка "8" - Покупка ГСМ 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" sId="2">
    <oc r="A2" t="inlineStr">
      <is>
        <t xml:space="preserve">1.  Удалена строка "8" - Покупка ГСМ </t>
      </is>
    </oc>
    <nc r="A2" t="inlineStr">
      <is>
        <t>1.  Удалена строка "8" - Покупка ГСМ - Отмена закупки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" sId="1">
    <oc r="K6" t="inlineStr">
      <is>
        <t>Генеральный  директор ООО "СИТЭК"</t>
      </is>
    </oc>
    <nc r="K6" t="inlineStr">
      <is>
        <t>Генеральный  директор ООО "Ситэк"</t>
      </is>
    </nc>
  </rcc>
  <rcc rId="31" sId="1">
    <oc r="E3" t="inlineStr">
      <is>
        <t>Общество с ограниченной ответственностью "СИТЭК"</t>
      </is>
    </oc>
    <nc r="E3" t="inlineStr">
      <is>
        <t>Общество с ограниченной ответственностью "Ситэк"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" sId="1">
    <oc r="E28" t="inlineStr">
      <is>
        <t>Расчистка от снега подъездных дорог к крановым площадкаи магистрального газопровода к ГРС "Лебединский ГОК", магистрального газопровода-отвода "Осрогожск-Лебединский ГОК". Расчистка от снега площадки ГРС "Лебединский ГОК" и площадок крановых узлов.</t>
      </is>
    </oc>
    <nc r="E28" t="inlineStr">
      <is>
        <t>Расчистка от снега подъездных дорог к крановым площадкаи магистрального газопровода к ГРС "Лебединский ГОК", магистрального газопровода-отвода "Острогожск-Лебединский ГОК". Расчистка от снега площадки ГРС "Лебединский ГОК" и площадок крановых узлов.</t>
      </is>
    </nc>
  </rcc>
  <rcv guid="{C7296768-FCE0-48A0-8F7E-45ABAD27CDA0}" action="delete"/>
  <rdn rId="0" localSheetId="1" customView="1" name="Z_C7296768_FCE0_48A0_8F7E_45ABAD27CDA0_.wvu.Cols" hidden="1" oldHidden="1">
    <formula>План!$M:$M,План!$O:$O</formula>
    <oldFormula>План!$M:$M,План!$O:$O</oldFormula>
  </rdn>
  <rcv guid="{C7296768-FCE0-48A0-8F7E-45ABAD27CDA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" sId="1">
    <oc r="E70" t="inlineStr">
      <is>
        <t>Восстановление переходов газопровода через ж/д и а/д  на 91 км,93 км, 93,5 км магистрального газопровода-отвода "Осрогожск-Лебединский ГОК"</t>
      </is>
    </oc>
    <nc r="E70" t="inlineStr">
      <is>
        <t>Восстановление переходов газопровода через ж/д и а/д  на 91 км,93 км, 93,5 км магистрального газопровода-отвода "Острогожск-Лебединский ГОК"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itek33@mail.ru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38263"/>
  <sheetViews>
    <sheetView tabSelected="1" workbookViewId="0">
      <selection activeCell="E28" sqref="E28"/>
    </sheetView>
  </sheetViews>
  <sheetFormatPr defaultRowHeight="15" x14ac:dyDescent="0.25"/>
  <cols>
    <col min="1" max="1" width="4.42578125" style="1" customWidth="1"/>
    <col min="2" max="2" width="7.28515625" style="2" customWidth="1"/>
    <col min="3" max="3" width="9.85546875" style="1" customWidth="1"/>
    <col min="4" max="4" width="21.42578125" style="1" customWidth="1"/>
    <col min="5" max="5" width="37.7109375" style="1" customWidth="1"/>
    <col min="6" max="6" width="6.7109375" style="2" customWidth="1"/>
    <col min="7" max="7" width="9.85546875" style="2" customWidth="1"/>
    <col min="8" max="8" width="9.140625" style="2"/>
    <col min="9" max="9" width="11.140625" style="2" customWidth="1"/>
    <col min="10" max="10" width="14.42578125" style="2" customWidth="1"/>
    <col min="11" max="11" width="13.28515625" style="1" customWidth="1"/>
    <col min="12" max="12" width="13.7109375" style="1" customWidth="1"/>
    <col min="13" max="13" width="0.140625" style="1" hidden="1" customWidth="1"/>
    <col min="14" max="14" width="13.5703125" style="1" customWidth="1"/>
    <col min="15" max="15" width="13.5703125" style="1" hidden="1" customWidth="1"/>
    <col min="16" max="16" width="12.42578125" style="1" customWidth="1"/>
    <col min="17" max="17" width="8.28515625" style="1" customWidth="1"/>
    <col min="18" max="16384" width="9.140625" style="1"/>
  </cols>
  <sheetData>
    <row r="1" spans="1:17" x14ac:dyDescent="0.25">
      <c r="E1" s="3" t="s">
        <v>200</v>
      </c>
    </row>
    <row r="2" spans="1:17" x14ac:dyDescent="0.25">
      <c r="E2" s="3" t="s">
        <v>0</v>
      </c>
    </row>
    <row r="3" spans="1:17" x14ac:dyDescent="0.25">
      <c r="B3" s="1"/>
      <c r="C3" s="4" t="s">
        <v>1</v>
      </c>
      <c r="E3" s="1" t="s">
        <v>206</v>
      </c>
      <c r="K3" s="1" t="s">
        <v>2</v>
      </c>
    </row>
    <row r="4" spans="1:17" x14ac:dyDescent="0.25">
      <c r="B4" s="5"/>
      <c r="C4" s="6" t="s">
        <v>3</v>
      </c>
      <c r="E4" s="1" t="s">
        <v>4</v>
      </c>
    </row>
    <row r="5" spans="1:17" x14ac:dyDescent="0.25">
      <c r="B5" s="5"/>
      <c r="C5" s="6" t="s">
        <v>5</v>
      </c>
      <c r="E5" s="1" t="s">
        <v>6</v>
      </c>
      <c r="K5" s="7"/>
      <c r="L5" s="7"/>
      <c r="M5" s="1" t="s">
        <v>7</v>
      </c>
    </row>
    <row r="6" spans="1:17" x14ac:dyDescent="0.25">
      <c r="B6" s="5"/>
      <c r="C6" s="6" t="s">
        <v>8</v>
      </c>
      <c r="E6" s="8" t="s">
        <v>9</v>
      </c>
      <c r="K6" s="1" t="s">
        <v>205</v>
      </c>
      <c r="M6" s="1" t="s">
        <v>10</v>
      </c>
    </row>
    <row r="7" spans="1:17" x14ac:dyDescent="0.25">
      <c r="B7" s="5"/>
      <c r="C7" s="6" t="s">
        <v>11</v>
      </c>
      <c r="E7" s="5">
        <v>7705807029</v>
      </c>
      <c r="L7" s="1" t="s">
        <v>12</v>
      </c>
    </row>
    <row r="8" spans="1:17" x14ac:dyDescent="0.25">
      <c r="B8" s="5"/>
      <c r="C8" s="6" t="s">
        <v>13</v>
      </c>
      <c r="E8" s="5">
        <v>770501001</v>
      </c>
    </row>
    <row r="9" spans="1:17" x14ac:dyDescent="0.25">
      <c r="B9" s="5"/>
      <c r="C9" s="6" t="s">
        <v>14</v>
      </c>
      <c r="E9" s="5">
        <v>45286580000</v>
      </c>
    </row>
    <row r="10" spans="1:17" ht="9" customHeight="1" x14ac:dyDescent="0.25"/>
    <row r="11" spans="1:17" s="10" customFormat="1" ht="36.75" customHeight="1" x14ac:dyDescent="0.2">
      <c r="A11" s="9"/>
      <c r="B11" s="65" t="s">
        <v>15</v>
      </c>
      <c r="C11" s="68" t="s">
        <v>16</v>
      </c>
      <c r="D11" s="68" t="s">
        <v>17</v>
      </c>
      <c r="E11" s="65" t="s">
        <v>18</v>
      </c>
      <c r="F11" s="71" t="s">
        <v>19</v>
      </c>
      <c r="G11" s="72"/>
      <c r="H11" s="65" t="s">
        <v>20</v>
      </c>
      <c r="I11" s="71" t="s">
        <v>21</v>
      </c>
      <c r="J11" s="72"/>
      <c r="K11" s="65" t="s">
        <v>22</v>
      </c>
      <c r="L11" s="9" t="s">
        <v>23</v>
      </c>
      <c r="M11" s="73" t="s">
        <v>24</v>
      </c>
      <c r="N11" s="74"/>
      <c r="O11" s="65" t="s">
        <v>25</v>
      </c>
      <c r="P11" s="65" t="s">
        <v>26</v>
      </c>
      <c r="Q11" s="65" t="s">
        <v>27</v>
      </c>
    </row>
    <row r="12" spans="1:17" s="10" customFormat="1" ht="12.75" x14ac:dyDescent="0.2">
      <c r="A12" s="11" t="s">
        <v>28</v>
      </c>
      <c r="B12" s="66"/>
      <c r="C12" s="69"/>
      <c r="D12" s="69"/>
      <c r="E12" s="66"/>
      <c r="F12" s="65" t="s">
        <v>29</v>
      </c>
      <c r="G12" s="65" t="s">
        <v>30</v>
      </c>
      <c r="H12" s="66"/>
      <c r="I12" s="65" t="s">
        <v>31</v>
      </c>
      <c r="J12" s="68" t="s">
        <v>30</v>
      </c>
      <c r="K12" s="66"/>
      <c r="L12" s="11" t="s">
        <v>32</v>
      </c>
      <c r="M12" s="9"/>
      <c r="N12" s="12"/>
      <c r="O12" s="66"/>
      <c r="P12" s="66"/>
      <c r="Q12" s="66"/>
    </row>
    <row r="13" spans="1:17" s="10" customFormat="1" ht="12.75" x14ac:dyDescent="0.2">
      <c r="A13" s="11" t="s">
        <v>33</v>
      </c>
      <c r="B13" s="66"/>
      <c r="C13" s="69"/>
      <c r="D13" s="69"/>
      <c r="E13" s="66"/>
      <c r="F13" s="66"/>
      <c r="G13" s="66"/>
      <c r="H13" s="66"/>
      <c r="I13" s="66"/>
      <c r="J13" s="69"/>
      <c r="K13" s="66"/>
      <c r="L13" s="11" t="s">
        <v>34</v>
      </c>
      <c r="M13" s="11" t="s">
        <v>35</v>
      </c>
      <c r="N13" s="11" t="s">
        <v>35</v>
      </c>
      <c r="O13" s="66"/>
      <c r="P13" s="66"/>
      <c r="Q13" s="66"/>
    </row>
    <row r="14" spans="1:17" s="10" customFormat="1" ht="12.75" x14ac:dyDescent="0.2">
      <c r="A14" s="13"/>
      <c r="B14" s="67"/>
      <c r="C14" s="70"/>
      <c r="D14" s="70"/>
      <c r="E14" s="67"/>
      <c r="F14" s="67"/>
      <c r="G14" s="67"/>
      <c r="H14" s="67"/>
      <c r="I14" s="67"/>
      <c r="J14" s="70"/>
      <c r="K14" s="67"/>
      <c r="L14" s="13" t="s">
        <v>35</v>
      </c>
      <c r="M14" s="13"/>
      <c r="N14" s="13"/>
      <c r="O14" s="67"/>
      <c r="P14" s="67"/>
      <c r="Q14" s="67"/>
    </row>
    <row r="15" spans="1:17" s="24" customFormat="1" ht="39" customHeight="1" x14ac:dyDescent="0.25">
      <c r="A15" s="14">
        <v>1</v>
      </c>
      <c r="B15" s="15" t="s">
        <v>36</v>
      </c>
      <c r="C15" s="16">
        <v>701</v>
      </c>
      <c r="D15" s="17" t="s">
        <v>37</v>
      </c>
      <c r="E15" s="18" t="s">
        <v>38</v>
      </c>
      <c r="F15" s="19" t="s">
        <v>39</v>
      </c>
      <c r="G15" s="16" t="s">
        <v>40</v>
      </c>
      <c r="H15" s="20">
        <v>85</v>
      </c>
      <c r="I15" s="16">
        <v>45293590</v>
      </c>
      <c r="J15" s="16" t="s">
        <v>41</v>
      </c>
      <c r="K15" s="21">
        <f>1199000*1.1</f>
        <v>1318900</v>
      </c>
      <c r="L15" s="22">
        <v>41913</v>
      </c>
      <c r="M15" s="22">
        <v>41974</v>
      </c>
      <c r="N15" s="22">
        <v>42278</v>
      </c>
      <c r="O15" s="22">
        <v>42278</v>
      </c>
      <c r="P15" s="23" t="s">
        <v>42</v>
      </c>
      <c r="Q15" s="16" t="s">
        <v>43</v>
      </c>
    </row>
    <row r="16" spans="1:17" s="24" customFormat="1" ht="38.25" x14ac:dyDescent="0.25">
      <c r="A16" s="14">
        <v>2</v>
      </c>
      <c r="B16" s="15" t="s">
        <v>44</v>
      </c>
      <c r="C16" s="15">
        <v>742</v>
      </c>
      <c r="D16" s="17" t="s">
        <v>45</v>
      </c>
      <c r="E16" s="18" t="s">
        <v>46</v>
      </c>
      <c r="F16" s="16">
        <v>876</v>
      </c>
      <c r="G16" s="16" t="s">
        <v>47</v>
      </c>
      <c r="H16" s="16">
        <v>1</v>
      </c>
      <c r="I16" s="16">
        <v>45293590</v>
      </c>
      <c r="J16" s="16" t="s">
        <v>41</v>
      </c>
      <c r="K16" s="21">
        <f>420000*1.1</f>
        <v>462000.00000000006</v>
      </c>
      <c r="L16" s="22">
        <v>41913</v>
      </c>
      <c r="M16" s="22">
        <v>41974</v>
      </c>
      <c r="N16" s="22">
        <v>42278</v>
      </c>
      <c r="O16" s="22">
        <v>42278</v>
      </c>
      <c r="P16" s="23" t="s">
        <v>42</v>
      </c>
      <c r="Q16" s="16" t="s">
        <v>43</v>
      </c>
    </row>
    <row r="17" spans="1:17" s="24" customFormat="1" ht="63.75" x14ac:dyDescent="0.25">
      <c r="A17" s="14">
        <v>3</v>
      </c>
      <c r="B17" s="15" t="s">
        <v>48</v>
      </c>
      <c r="C17" s="25" t="s">
        <v>49</v>
      </c>
      <c r="D17" s="26" t="s">
        <v>50</v>
      </c>
      <c r="E17" s="27" t="s">
        <v>51</v>
      </c>
      <c r="F17" s="16">
        <v>876</v>
      </c>
      <c r="G17" s="16" t="s">
        <v>47</v>
      </c>
      <c r="H17" s="16">
        <v>1</v>
      </c>
      <c r="I17" s="28">
        <v>75255811004</v>
      </c>
      <c r="J17" s="26" t="s">
        <v>52</v>
      </c>
      <c r="K17" s="29">
        <v>3048541.47</v>
      </c>
      <c r="L17" s="30">
        <v>41913</v>
      </c>
      <c r="M17" s="30">
        <v>41944</v>
      </c>
      <c r="N17" s="31">
        <v>42095</v>
      </c>
      <c r="O17" s="30">
        <v>42339</v>
      </c>
      <c r="P17" s="32" t="s">
        <v>53</v>
      </c>
      <c r="Q17" s="16" t="s">
        <v>43</v>
      </c>
    </row>
    <row r="18" spans="1:17" s="24" customFormat="1" ht="63.75" x14ac:dyDescent="0.25">
      <c r="A18" s="34">
        <v>5</v>
      </c>
      <c r="B18" s="15" t="s">
        <v>56</v>
      </c>
      <c r="C18" s="25" t="s">
        <v>57</v>
      </c>
      <c r="D18" s="16" t="s">
        <v>58</v>
      </c>
      <c r="E18" s="34" t="s">
        <v>58</v>
      </c>
      <c r="F18" s="16">
        <v>796</v>
      </c>
      <c r="G18" s="16" t="s">
        <v>54</v>
      </c>
      <c r="H18" s="16">
        <v>1000</v>
      </c>
      <c r="I18" s="16">
        <v>45293590</v>
      </c>
      <c r="J18" s="16" t="s">
        <v>41</v>
      </c>
      <c r="K18" s="35">
        <f>267354.84*1.25</f>
        <v>334193.55000000005</v>
      </c>
      <c r="L18" s="31">
        <v>41944</v>
      </c>
      <c r="M18" s="36">
        <v>41944</v>
      </c>
      <c r="N18" s="31">
        <v>42339</v>
      </c>
      <c r="O18" s="31">
        <v>42370</v>
      </c>
      <c r="P18" s="32" t="s">
        <v>55</v>
      </c>
      <c r="Q18" s="16" t="s">
        <v>201</v>
      </c>
    </row>
    <row r="19" spans="1:17" s="24" customFormat="1" ht="25.5" x14ac:dyDescent="0.25">
      <c r="A19" s="34">
        <v>6</v>
      </c>
      <c r="B19" s="37" t="s">
        <v>59</v>
      </c>
      <c r="C19" s="16">
        <v>3010</v>
      </c>
      <c r="D19" s="25" t="s">
        <v>60</v>
      </c>
      <c r="E19" s="32" t="s">
        <v>61</v>
      </c>
      <c r="F19" s="16">
        <v>796</v>
      </c>
      <c r="G19" s="16" t="s">
        <v>54</v>
      </c>
      <c r="H19" s="16">
        <v>135</v>
      </c>
      <c r="I19" s="16">
        <v>45293590</v>
      </c>
      <c r="J19" s="16" t="s">
        <v>41</v>
      </c>
      <c r="K19" s="35">
        <f>665411.07*1.25</f>
        <v>831763.83749999991</v>
      </c>
      <c r="L19" s="31">
        <v>41944</v>
      </c>
      <c r="M19" s="36">
        <v>41974</v>
      </c>
      <c r="N19" s="31">
        <v>42339</v>
      </c>
      <c r="O19" s="31">
        <v>42370</v>
      </c>
      <c r="P19" s="32" t="s">
        <v>55</v>
      </c>
      <c r="Q19" s="16" t="s">
        <v>201</v>
      </c>
    </row>
    <row r="20" spans="1:17" s="24" customFormat="1" ht="25.5" x14ac:dyDescent="0.25">
      <c r="A20" s="34">
        <v>7</v>
      </c>
      <c r="B20" s="15" t="s">
        <v>62</v>
      </c>
      <c r="C20" s="16">
        <v>726</v>
      </c>
      <c r="D20" s="25" t="s">
        <v>63</v>
      </c>
      <c r="E20" s="32" t="s">
        <v>64</v>
      </c>
      <c r="F20" s="16">
        <v>876</v>
      </c>
      <c r="G20" s="16" t="s">
        <v>47</v>
      </c>
      <c r="H20" s="16">
        <v>10</v>
      </c>
      <c r="I20" s="16">
        <v>45293590</v>
      </c>
      <c r="J20" s="16" t="s">
        <v>41</v>
      </c>
      <c r="K20" s="35">
        <f>238033.04*1.25</f>
        <v>297541.3</v>
      </c>
      <c r="L20" s="31">
        <v>41944</v>
      </c>
      <c r="M20" s="36">
        <v>41974</v>
      </c>
      <c r="N20" s="31">
        <v>42339</v>
      </c>
      <c r="O20" s="31">
        <v>42370</v>
      </c>
      <c r="P20" s="32" t="s">
        <v>55</v>
      </c>
      <c r="Q20" s="16" t="s">
        <v>43</v>
      </c>
    </row>
    <row r="21" spans="1:17" s="38" customFormat="1" ht="38.25" customHeight="1" x14ac:dyDescent="0.25">
      <c r="A21" s="34">
        <v>9</v>
      </c>
      <c r="B21" s="15" t="s">
        <v>65</v>
      </c>
      <c r="C21" s="16">
        <v>60500102</v>
      </c>
      <c r="D21" s="16" t="s">
        <v>66</v>
      </c>
      <c r="E21" s="32" t="s">
        <v>67</v>
      </c>
      <c r="F21" s="16">
        <v>876</v>
      </c>
      <c r="G21" s="16" t="s">
        <v>47</v>
      </c>
      <c r="H21" s="16">
        <v>1</v>
      </c>
      <c r="I21" s="28">
        <v>75255811004</v>
      </c>
      <c r="J21" s="25" t="s">
        <v>52</v>
      </c>
      <c r="K21" s="35">
        <f>1900357.18*1.2</f>
        <v>2280428.6159999999</v>
      </c>
      <c r="L21" s="31">
        <v>41944</v>
      </c>
      <c r="M21" s="36">
        <v>41974</v>
      </c>
      <c r="N21" s="31">
        <v>42278</v>
      </c>
      <c r="O21" s="31">
        <v>42278</v>
      </c>
      <c r="P21" s="23" t="s">
        <v>42</v>
      </c>
      <c r="Q21" s="16" t="s">
        <v>43</v>
      </c>
    </row>
    <row r="22" spans="1:17" s="38" customFormat="1" ht="39" customHeight="1" x14ac:dyDescent="0.25">
      <c r="A22" s="34">
        <v>10</v>
      </c>
      <c r="B22" s="15" t="s">
        <v>65</v>
      </c>
      <c r="C22" s="16">
        <v>60500102</v>
      </c>
      <c r="D22" s="16" t="s">
        <v>66</v>
      </c>
      <c r="E22" s="32" t="s">
        <v>68</v>
      </c>
      <c r="F22" s="16">
        <v>876</v>
      </c>
      <c r="G22" s="16" t="s">
        <v>47</v>
      </c>
      <c r="H22" s="16">
        <v>1</v>
      </c>
      <c r="I22" s="16">
        <v>69401000</v>
      </c>
      <c r="J22" s="16" t="s">
        <v>69</v>
      </c>
      <c r="K22" s="35">
        <f>82499798.37*1.2</f>
        <v>98999758.044</v>
      </c>
      <c r="L22" s="31">
        <v>41974</v>
      </c>
      <c r="M22" s="36">
        <v>41974</v>
      </c>
      <c r="N22" s="31">
        <v>42278</v>
      </c>
      <c r="O22" s="31">
        <v>42278</v>
      </c>
      <c r="P22" s="23" t="s">
        <v>42</v>
      </c>
      <c r="Q22" s="16" t="s">
        <v>43</v>
      </c>
    </row>
    <row r="23" spans="1:17" s="38" customFormat="1" ht="38.25" x14ac:dyDescent="0.25">
      <c r="A23" s="34">
        <v>11</v>
      </c>
      <c r="B23" s="15" t="s">
        <v>36</v>
      </c>
      <c r="C23" s="16">
        <v>701</v>
      </c>
      <c r="D23" s="17" t="s">
        <v>37</v>
      </c>
      <c r="E23" s="18" t="s">
        <v>70</v>
      </c>
      <c r="F23" s="19" t="s">
        <v>39</v>
      </c>
      <c r="G23" s="16" t="s">
        <v>40</v>
      </c>
      <c r="H23" s="16">
        <v>155.69999999999999</v>
      </c>
      <c r="I23" s="16">
        <v>45293590</v>
      </c>
      <c r="J23" s="16" t="s">
        <v>41</v>
      </c>
      <c r="K23" s="21">
        <f>2035000*1.1</f>
        <v>2238500</v>
      </c>
      <c r="L23" s="22">
        <v>41974</v>
      </c>
      <c r="M23" s="22">
        <v>42036</v>
      </c>
      <c r="N23" s="22">
        <v>42339</v>
      </c>
      <c r="O23" s="22">
        <v>42339</v>
      </c>
      <c r="P23" s="23" t="s">
        <v>42</v>
      </c>
      <c r="Q23" s="16" t="s">
        <v>43</v>
      </c>
    </row>
    <row r="24" spans="1:17" s="38" customFormat="1" ht="38.25" x14ac:dyDescent="0.25">
      <c r="A24" s="34">
        <v>12</v>
      </c>
      <c r="B24" s="15" t="s">
        <v>44</v>
      </c>
      <c r="C24" s="15">
        <v>742</v>
      </c>
      <c r="D24" s="17" t="s">
        <v>45</v>
      </c>
      <c r="E24" s="18" t="s">
        <v>71</v>
      </c>
      <c r="F24" s="16">
        <v>876</v>
      </c>
      <c r="G24" s="16" t="s">
        <v>47</v>
      </c>
      <c r="H24" s="16">
        <v>1</v>
      </c>
      <c r="I24" s="16">
        <v>45293590</v>
      </c>
      <c r="J24" s="16" t="s">
        <v>41</v>
      </c>
      <c r="K24" s="21">
        <f>780000*1.1</f>
        <v>858000.00000000012</v>
      </c>
      <c r="L24" s="22">
        <v>41974</v>
      </c>
      <c r="M24" s="22">
        <v>42036</v>
      </c>
      <c r="N24" s="22">
        <v>42339</v>
      </c>
      <c r="O24" s="22">
        <v>42339</v>
      </c>
      <c r="P24" s="23" t="s">
        <v>42</v>
      </c>
      <c r="Q24" s="16" t="s">
        <v>43</v>
      </c>
    </row>
    <row r="25" spans="1:17" s="38" customFormat="1" ht="38.25" x14ac:dyDescent="0.25">
      <c r="A25" s="34">
        <v>13</v>
      </c>
      <c r="B25" s="33" t="s">
        <v>72</v>
      </c>
      <c r="C25" s="16">
        <v>7490000</v>
      </c>
      <c r="D25" s="16" t="s">
        <v>73</v>
      </c>
      <c r="E25" s="32" t="s">
        <v>74</v>
      </c>
      <c r="F25" s="16">
        <v>876</v>
      </c>
      <c r="G25" s="16" t="s">
        <v>47</v>
      </c>
      <c r="H25" s="16">
        <v>1</v>
      </c>
      <c r="I25" s="16">
        <v>65401000</v>
      </c>
      <c r="J25" s="16" t="s">
        <v>75</v>
      </c>
      <c r="K25" s="35">
        <f>5198544.31*1.2</f>
        <v>6238253.1719999993</v>
      </c>
      <c r="L25" s="31">
        <v>41974</v>
      </c>
      <c r="M25" s="36">
        <v>42005</v>
      </c>
      <c r="N25" s="31">
        <v>42339</v>
      </c>
      <c r="O25" s="31">
        <v>42339</v>
      </c>
      <c r="P25" s="23" t="s">
        <v>42</v>
      </c>
      <c r="Q25" s="16" t="s">
        <v>43</v>
      </c>
    </row>
    <row r="26" spans="1:17" s="38" customFormat="1" ht="37.5" customHeight="1" x14ac:dyDescent="0.25">
      <c r="A26" s="34">
        <v>14</v>
      </c>
      <c r="B26" s="33" t="s">
        <v>72</v>
      </c>
      <c r="C26" s="16">
        <v>7490000</v>
      </c>
      <c r="D26" s="16" t="s">
        <v>73</v>
      </c>
      <c r="E26" s="32" t="s">
        <v>76</v>
      </c>
      <c r="F26" s="16">
        <v>876</v>
      </c>
      <c r="G26" s="16" t="s">
        <v>47</v>
      </c>
      <c r="H26" s="16">
        <v>1</v>
      </c>
      <c r="I26" s="16">
        <v>27209000</v>
      </c>
      <c r="J26" s="16" t="s">
        <v>77</v>
      </c>
      <c r="K26" s="35">
        <f>7699087*1.2</f>
        <v>9238904.4000000004</v>
      </c>
      <c r="L26" s="31">
        <v>41974</v>
      </c>
      <c r="M26" s="36">
        <v>42005</v>
      </c>
      <c r="N26" s="31">
        <v>42339</v>
      </c>
      <c r="O26" s="31">
        <v>42339</v>
      </c>
      <c r="P26" s="23" t="s">
        <v>42</v>
      </c>
      <c r="Q26" s="16" t="s">
        <v>43</v>
      </c>
    </row>
    <row r="27" spans="1:17" s="38" customFormat="1" ht="38.25" customHeight="1" x14ac:dyDescent="0.25">
      <c r="A27" s="34">
        <v>15</v>
      </c>
      <c r="B27" s="33" t="s">
        <v>72</v>
      </c>
      <c r="C27" s="16">
        <v>7490000</v>
      </c>
      <c r="D27" s="16" t="s">
        <v>73</v>
      </c>
      <c r="E27" s="32" t="s">
        <v>78</v>
      </c>
      <c r="F27" s="16">
        <v>876</v>
      </c>
      <c r="G27" s="16" t="s">
        <v>47</v>
      </c>
      <c r="H27" s="16">
        <v>1</v>
      </c>
      <c r="I27" s="16">
        <v>27209000</v>
      </c>
      <c r="J27" s="16" t="s">
        <v>77</v>
      </c>
      <c r="K27" s="35">
        <f>8273661*1.2</f>
        <v>9928393.1999999993</v>
      </c>
      <c r="L27" s="31">
        <v>41974</v>
      </c>
      <c r="M27" s="36">
        <v>42005</v>
      </c>
      <c r="N27" s="31">
        <v>42339</v>
      </c>
      <c r="O27" s="31">
        <v>42339</v>
      </c>
      <c r="P27" s="23" t="s">
        <v>42</v>
      </c>
      <c r="Q27" s="16" t="s">
        <v>43</v>
      </c>
    </row>
    <row r="28" spans="1:17" s="38" customFormat="1" ht="89.25" x14ac:dyDescent="0.25">
      <c r="A28" s="34">
        <v>16</v>
      </c>
      <c r="B28" s="15" t="s">
        <v>48</v>
      </c>
      <c r="C28" s="25" t="s">
        <v>49</v>
      </c>
      <c r="D28" s="26" t="s">
        <v>50</v>
      </c>
      <c r="E28" s="39" t="s">
        <v>207</v>
      </c>
      <c r="F28" s="16">
        <v>876</v>
      </c>
      <c r="G28" s="16" t="s">
        <v>47</v>
      </c>
      <c r="H28" s="16">
        <v>1</v>
      </c>
      <c r="I28" s="16">
        <v>14235000</v>
      </c>
      <c r="J28" s="25" t="s">
        <v>79</v>
      </c>
      <c r="K28" s="40">
        <f>950000*1.25</f>
        <v>1187500</v>
      </c>
      <c r="L28" s="41" t="s">
        <v>80</v>
      </c>
      <c r="M28" s="22">
        <v>42005</v>
      </c>
      <c r="N28" s="31">
        <v>42064</v>
      </c>
      <c r="O28" s="41" t="s">
        <v>81</v>
      </c>
      <c r="P28" s="32" t="s">
        <v>53</v>
      </c>
      <c r="Q28" s="16" t="s">
        <v>43</v>
      </c>
    </row>
    <row r="29" spans="1:17" s="38" customFormat="1" ht="51" x14ac:dyDescent="0.25">
      <c r="A29" s="34">
        <v>17</v>
      </c>
      <c r="B29" s="15" t="s">
        <v>48</v>
      </c>
      <c r="C29" s="25" t="s">
        <v>49</v>
      </c>
      <c r="D29" s="26" t="s">
        <v>50</v>
      </c>
      <c r="E29" s="42" t="s">
        <v>82</v>
      </c>
      <c r="F29" s="16">
        <v>876</v>
      </c>
      <c r="G29" s="16" t="s">
        <v>47</v>
      </c>
      <c r="H29" s="16">
        <v>1</v>
      </c>
      <c r="I29" s="28">
        <v>50215828005</v>
      </c>
      <c r="J29" s="25" t="s">
        <v>83</v>
      </c>
      <c r="K29" s="43">
        <f>300000*1.25</f>
        <v>375000</v>
      </c>
      <c r="L29" s="41" t="s">
        <v>80</v>
      </c>
      <c r="M29" s="22">
        <v>42005</v>
      </c>
      <c r="N29" s="31">
        <v>42064</v>
      </c>
      <c r="O29" s="41" t="s">
        <v>84</v>
      </c>
      <c r="P29" s="32" t="s">
        <v>53</v>
      </c>
      <c r="Q29" s="16" t="s">
        <v>43</v>
      </c>
    </row>
    <row r="30" spans="1:17" s="38" customFormat="1" ht="25.5" x14ac:dyDescent="0.25">
      <c r="A30" s="34">
        <v>18</v>
      </c>
      <c r="B30" s="15" t="s">
        <v>85</v>
      </c>
      <c r="C30" s="16">
        <v>5150410</v>
      </c>
      <c r="D30" s="16" t="s">
        <v>86</v>
      </c>
      <c r="E30" s="34" t="s">
        <v>87</v>
      </c>
      <c r="F30" s="16">
        <v>796</v>
      </c>
      <c r="G30" s="16" t="s">
        <v>54</v>
      </c>
      <c r="H30" s="16">
        <v>30</v>
      </c>
      <c r="I30" s="16">
        <v>45293590</v>
      </c>
      <c r="J30" s="16" t="s">
        <v>41</v>
      </c>
      <c r="K30" s="35">
        <f>446799.92*1.25</f>
        <v>558499.9</v>
      </c>
      <c r="L30" s="31">
        <v>42005</v>
      </c>
      <c r="M30" s="36">
        <v>41974</v>
      </c>
      <c r="N30" s="31">
        <v>42339</v>
      </c>
      <c r="O30" s="31">
        <v>42370</v>
      </c>
      <c r="P30" s="32" t="s">
        <v>55</v>
      </c>
      <c r="Q30" s="16" t="s">
        <v>201</v>
      </c>
    </row>
    <row r="31" spans="1:17" s="38" customFormat="1" ht="51" x14ac:dyDescent="0.25">
      <c r="A31" s="34">
        <v>19</v>
      </c>
      <c r="B31" s="15" t="s">
        <v>88</v>
      </c>
      <c r="C31" s="16">
        <v>6324060</v>
      </c>
      <c r="D31" s="16" t="s">
        <v>89</v>
      </c>
      <c r="E31" s="32" t="s">
        <v>90</v>
      </c>
      <c r="F31" s="16">
        <v>876</v>
      </c>
      <c r="G31" s="16" t="s">
        <v>47</v>
      </c>
      <c r="H31" s="16">
        <v>1</v>
      </c>
      <c r="I31" s="16">
        <v>27209000</v>
      </c>
      <c r="J31" s="16" t="s">
        <v>77</v>
      </c>
      <c r="K31" s="35">
        <f>360000*1.25</f>
        <v>450000</v>
      </c>
      <c r="L31" s="31">
        <v>42005</v>
      </c>
      <c r="M31" s="36">
        <v>42036</v>
      </c>
      <c r="N31" s="31">
        <v>42370</v>
      </c>
      <c r="O31" s="31">
        <v>42401</v>
      </c>
      <c r="P31" s="32" t="s">
        <v>53</v>
      </c>
      <c r="Q31" s="16" t="s">
        <v>43</v>
      </c>
    </row>
    <row r="32" spans="1:17" s="38" customFormat="1" ht="76.5" x14ac:dyDescent="0.25">
      <c r="A32" s="34">
        <v>20</v>
      </c>
      <c r="B32" s="15" t="s">
        <v>91</v>
      </c>
      <c r="C32" s="25" t="s">
        <v>92</v>
      </c>
      <c r="D32" s="26" t="s">
        <v>93</v>
      </c>
      <c r="E32" s="44" t="s">
        <v>94</v>
      </c>
      <c r="F32" s="16">
        <v>876</v>
      </c>
      <c r="G32" s="16" t="s">
        <v>47</v>
      </c>
      <c r="H32" s="16">
        <v>1</v>
      </c>
      <c r="I32" s="16">
        <v>27209000</v>
      </c>
      <c r="J32" s="25" t="s">
        <v>95</v>
      </c>
      <c r="K32" s="40">
        <f>7014430*1.25</f>
        <v>8768037.5</v>
      </c>
      <c r="L32" s="22">
        <v>42005</v>
      </c>
      <c r="M32" s="22">
        <v>42036</v>
      </c>
      <c r="N32" s="31">
        <v>42064</v>
      </c>
      <c r="O32" s="22">
        <v>42339</v>
      </c>
      <c r="P32" s="32" t="s">
        <v>53</v>
      </c>
      <c r="Q32" s="16" t="s">
        <v>43</v>
      </c>
    </row>
    <row r="33" spans="1:17" s="38" customFormat="1" ht="38.25" x14ac:dyDescent="0.25">
      <c r="A33" s="34">
        <v>21</v>
      </c>
      <c r="B33" s="15" t="s">
        <v>65</v>
      </c>
      <c r="C33" s="16">
        <v>60500102</v>
      </c>
      <c r="D33" s="16" t="s">
        <v>66</v>
      </c>
      <c r="E33" s="32" t="s">
        <v>96</v>
      </c>
      <c r="F33" s="16">
        <v>876</v>
      </c>
      <c r="G33" s="16" t="s">
        <v>47</v>
      </c>
      <c r="H33" s="16">
        <v>1</v>
      </c>
      <c r="I33" s="16">
        <v>50215828005</v>
      </c>
      <c r="J33" s="25" t="s">
        <v>97</v>
      </c>
      <c r="K33" s="35">
        <f>6819613.9*1.1</f>
        <v>7501575.290000001</v>
      </c>
      <c r="L33" s="31">
        <v>42036</v>
      </c>
      <c r="M33" s="36">
        <v>42064</v>
      </c>
      <c r="N33" s="31">
        <v>42370</v>
      </c>
      <c r="O33" s="31">
        <v>42370</v>
      </c>
      <c r="P33" s="23" t="s">
        <v>42</v>
      </c>
      <c r="Q33" s="16" t="s">
        <v>43</v>
      </c>
    </row>
    <row r="34" spans="1:17" s="38" customFormat="1" ht="76.5" customHeight="1" x14ac:dyDescent="0.25">
      <c r="A34" s="34">
        <v>22</v>
      </c>
      <c r="B34" s="15" t="s">
        <v>98</v>
      </c>
      <c r="C34" s="25" t="s">
        <v>99</v>
      </c>
      <c r="D34" s="26" t="s">
        <v>100</v>
      </c>
      <c r="E34" s="44" t="s">
        <v>101</v>
      </c>
      <c r="F34" s="16">
        <v>876</v>
      </c>
      <c r="G34" s="16" t="s">
        <v>47</v>
      </c>
      <c r="H34" s="16">
        <v>1</v>
      </c>
      <c r="I34" s="16">
        <v>27209000</v>
      </c>
      <c r="J34" s="25" t="s">
        <v>95</v>
      </c>
      <c r="K34" s="40">
        <f>21234000*1.25</f>
        <v>26542500</v>
      </c>
      <c r="L34" s="22">
        <v>42036</v>
      </c>
      <c r="M34" s="22">
        <v>42064</v>
      </c>
      <c r="N34" s="31">
        <v>42095</v>
      </c>
      <c r="O34" s="45">
        <v>42339</v>
      </c>
      <c r="P34" s="32" t="s">
        <v>53</v>
      </c>
      <c r="Q34" s="16" t="s">
        <v>43</v>
      </c>
    </row>
    <row r="35" spans="1:17" s="38" customFormat="1" ht="89.25" x14ac:dyDescent="0.25">
      <c r="A35" s="34">
        <v>23</v>
      </c>
      <c r="B35" s="15" t="s">
        <v>102</v>
      </c>
      <c r="C35" s="25" t="s">
        <v>103</v>
      </c>
      <c r="D35" s="26" t="s">
        <v>104</v>
      </c>
      <c r="E35" s="44" t="s">
        <v>105</v>
      </c>
      <c r="F35" s="16">
        <v>876</v>
      </c>
      <c r="G35" s="16" t="s">
        <v>47</v>
      </c>
      <c r="H35" s="16">
        <v>1</v>
      </c>
      <c r="I35" s="16">
        <v>27209000</v>
      </c>
      <c r="J35" s="25" t="s">
        <v>95</v>
      </c>
      <c r="K35" s="40">
        <f>26919000*1.25</f>
        <v>33648750</v>
      </c>
      <c r="L35" s="22">
        <v>42064</v>
      </c>
      <c r="M35" s="22">
        <v>42095</v>
      </c>
      <c r="N35" s="31">
        <v>42125</v>
      </c>
      <c r="O35" s="45">
        <v>42339</v>
      </c>
      <c r="P35" s="32" t="s">
        <v>53</v>
      </c>
      <c r="Q35" s="16" t="s">
        <v>43</v>
      </c>
    </row>
    <row r="36" spans="1:17" s="38" customFormat="1" ht="140.25" x14ac:dyDescent="0.25">
      <c r="A36" s="34">
        <v>24</v>
      </c>
      <c r="B36" s="15" t="s">
        <v>106</v>
      </c>
      <c r="C36" s="25" t="s">
        <v>107</v>
      </c>
      <c r="D36" s="25" t="s">
        <v>108</v>
      </c>
      <c r="E36" s="25" t="s">
        <v>109</v>
      </c>
      <c r="F36" s="16">
        <v>876</v>
      </c>
      <c r="G36" s="16" t="s">
        <v>47</v>
      </c>
      <c r="H36" s="16">
        <v>1</v>
      </c>
      <c r="I36" s="28">
        <v>50215828005</v>
      </c>
      <c r="J36" s="25" t="s">
        <v>83</v>
      </c>
      <c r="K36" s="21">
        <f>4012000*1.25</f>
        <v>5015000</v>
      </c>
      <c r="L36" s="46" t="s">
        <v>110</v>
      </c>
      <c r="M36" s="47" t="s">
        <v>111</v>
      </c>
      <c r="N36" s="31">
        <v>42186</v>
      </c>
      <c r="O36" s="41" t="s">
        <v>112</v>
      </c>
      <c r="P36" s="32" t="s">
        <v>53</v>
      </c>
      <c r="Q36" s="16" t="s">
        <v>43</v>
      </c>
    </row>
    <row r="37" spans="1:17" s="38" customFormat="1" ht="38.25" x14ac:dyDescent="0.25">
      <c r="A37" s="34">
        <v>25</v>
      </c>
      <c r="B37" s="15" t="s">
        <v>36</v>
      </c>
      <c r="C37" s="16">
        <v>701</v>
      </c>
      <c r="D37" s="33" t="s">
        <v>37</v>
      </c>
      <c r="E37" s="18" t="s">
        <v>113</v>
      </c>
      <c r="F37" s="19" t="s">
        <v>39</v>
      </c>
      <c r="G37" s="16" t="s">
        <v>40</v>
      </c>
      <c r="H37" s="16">
        <v>106.2</v>
      </c>
      <c r="I37" s="16">
        <v>45293590</v>
      </c>
      <c r="J37" s="16" t="s">
        <v>41</v>
      </c>
      <c r="K37" s="21">
        <f>1452000*1.1</f>
        <v>1597200.0000000002</v>
      </c>
      <c r="L37" s="47">
        <v>42095</v>
      </c>
      <c r="M37" s="22">
        <v>42156</v>
      </c>
      <c r="N37" s="22">
        <v>42461</v>
      </c>
      <c r="O37" s="22">
        <v>42461</v>
      </c>
      <c r="P37" s="23" t="s">
        <v>42</v>
      </c>
      <c r="Q37" s="16" t="s">
        <v>43</v>
      </c>
    </row>
    <row r="38" spans="1:17" s="38" customFormat="1" ht="38.25" x14ac:dyDescent="0.25">
      <c r="A38" s="34">
        <v>26</v>
      </c>
      <c r="B38" s="15" t="s">
        <v>44</v>
      </c>
      <c r="C38" s="15">
        <v>742</v>
      </c>
      <c r="D38" s="17" t="s">
        <v>45</v>
      </c>
      <c r="E38" s="18" t="s">
        <v>114</v>
      </c>
      <c r="F38" s="16">
        <v>876</v>
      </c>
      <c r="G38" s="16" t="s">
        <v>47</v>
      </c>
      <c r="H38" s="16">
        <v>1</v>
      </c>
      <c r="I38" s="16">
        <v>45293590</v>
      </c>
      <c r="J38" s="16" t="s">
        <v>41</v>
      </c>
      <c r="K38" s="21">
        <f>528000*1.1</f>
        <v>580800</v>
      </c>
      <c r="L38" s="47">
        <v>42095</v>
      </c>
      <c r="M38" s="22">
        <v>42156</v>
      </c>
      <c r="N38" s="22">
        <v>42461</v>
      </c>
      <c r="O38" s="22">
        <v>42461</v>
      </c>
      <c r="P38" s="23" t="s">
        <v>42</v>
      </c>
      <c r="Q38" s="16" t="s">
        <v>43</v>
      </c>
    </row>
    <row r="39" spans="1:17" s="38" customFormat="1" ht="51" x14ac:dyDescent="0.25">
      <c r="A39" s="34">
        <v>27</v>
      </c>
      <c r="B39" s="15" t="s">
        <v>48</v>
      </c>
      <c r="C39" s="25" t="s">
        <v>115</v>
      </c>
      <c r="D39" s="26" t="s">
        <v>50</v>
      </c>
      <c r="E39" s="27" t="s">
        <v>116</v>
      </c>
      <c r="F39" s="16">
        <v>876</v>
      </c>
      <c r="G39" s="16" t="s">
        <v>47</v>
      </c>
      <c r="H39" s="16">
        <v>1</v>
      </c>
      <c r="I39" s="28">
        <v>75255811004</v>
      </c>
      <c r="J39" s="26" t="s">
        <v>52</v>
      </c>
      <c r="K39" s="29">
        <f>4816738.76*1.25</f>
        <v>6020923.4499999993</v>
      </c>
      <c r="L39" s="30">
        <v>42095</v>
      </c>
      <c r="M39" s="30">
        <v>42125</v>
      </c>
      <c r="N39" s="31">
        <v>42278</v>
      </c>
      <c r="O39" s="30">
        <v>42339</v>
      </c>
      <c r="P39" s="32" t="s">
        <v>53</v>
      </c>
      <c r="Q39" s="16" t="s">
        <v>43</v>
      </c>
    </row>
    <row r="40" spans="1:17" s="38" customFormat="1" ht="76.5" x14ac:dyDescent="0.25">
      <c r="A40" s="34">
        <v>28</v>
      </c>
      <c r="B40" s="33" t="s">
        <v>117</v>
      </c>
      <c r="C40" s="25" t="s">
        <v>118</v>
      </c>
      <c r="D40" s="26" t="s">
        <v>104</v>
      </c>
      <c r="E40" s="27" t="s">
        <v>119</v>
      </c>
      <c r="F40" s="16">
        <v>876</v>
      </c>
      <c r="G40" s="16" t="s">
        <v>47</v>
      </c>
      <c r="H40" s="16">
        <v>1</v>
      </c>
      <c r="I40" s="28">
        <v>75255811004</v>
      </c>
      <c r="J40" s="26" t="s">
        <v>52</v>
      </c>
      <c r="K40" s="29">
        <f>8526868.1792*1.25</f>
        <v>10658585.223999999</v>
      </c>
      <c r="L40" s="30">
        <v>42095</v>
      </c>
      <c r="M40" s="30">
        <v>42125</v>
      </c>
      <c r="N40" s="31">
        <v>42186</v>
      </c>
      <c r="O40" s="30">
        <v>42339</v>
      </c>
      <c r="P40" s="32" t="s">
        <v>53</v>
      </c>
      <c r="Q40" s="16" t="s">
        <v>43</v>
      </c>
    </row>
    <row r="41" spans="1:17" s="38" customFormat="1" ht="76.5" x14ac:dyDescent="0.25">
      <c r="A41" s="34">
        <v>29</v>
      </c>
      <c r="B41" s="15" t="s">
        <v>120</v>
      </c>
      <c r="C41" s="25" t="s">
        <v>121</v>
      </c>
      <c r="D41" s="26" t="s">
        <v>100</v>
      </c>
      <c r="E41" s="48" t="s">
        <v>122</v>
      </c>
      <c r="F41" s="16">
        <v>876</v>
      </c>
      <c r="G41" s="16" t="s">
        <v>47</v>
      </c>
      <c r="H41" s="16">
        <v>1</v>
      </c>
      <c r="I41" s="16">
        <v>27209000</v>
      </c>
      <c r="J41" s="25" t="s">
        <v>95</v>
      </c>
      <c r="K41" s="40">
        <f>2049110*1.25</f>
        <v>2561387.5</v>
      </c>
      <c r="L41" s="22">
        <v>42095</v>
      </c>
      <c r="M41" s="22">
        <v>42125</v>
      </c>
      <c r="N41" s="31">
        <v>42156</v>
      </c>
      <c r="O41" s="22">
        <v>42339</v>
      </c>
      <c r="P41" s="32" t="s">
        <v>53</v>
      </c>
      <c r="Q41" s="16" t="s">
        <v>43</v>
      </c>
    </row>
    <row r="42" spans="1:17" s="38" customFormat="1" ht="63.75" x14ac:dyDescent="0.25">
      <c r="A42" s="34">
        <v>30</v>
      </c>
      <c r="B42" s="15" t="s">
        <v>98</v>
      </c>
      <c r="C42" s="25" t="s">
        <v>123</v>
      </c>
      <c r="D42" s="25" t="s">
        <v>124</v>
      </c>
      <c r="E42" s="49" t="s">
        <v>125</v>
      </c>
      <c r="F42" s="16">
        <v>876</v>
      </c>
      <c r="G42" s="16" t="s">
        <v>47</v>
      </c>
      <c r="H42" s="16">
        <v>1</v>
      </c>
      <c r="I42" s="16">
        <v>14235000</v>
      </c>
      <c r="J42" s="25" t="s">
        <v>79</v>
      </c>
      <c r="K42" s="50">
        <f>49500000*1.25</f>
        <v>61875000</v>
      </c>
      <c r="L42" s="46" t="s">
        <v>126</v>
      </c>
      <c r="M42" s="22">
        <v>42125</v>
      </c>
      <c r="N42" s="31">
        <v>42248</v>
      </c>
      <c r="O42" s="41" t="s">
        <v>127</v>
      </c>
      <c r="P42" s="32" t="s">
        <v>53</v>
      </c>
      <c r="Q42" s="16" t="s">
        <v>43</v>
      </c>
    </row>
    <row r="43" spans="1:17" s="38" customFormat="1" ht="76.5" customHeight="1" x14ac:dyDescent="0.25">
      <c r="A43" s="34">
        <v>31</v>
      </c>
      <c r="B43" s="15" t="s">
        <v>98</v>
      </c>
      <c r="C43" s="16">
        <v>4540381</v>
      </c>
      <c r="D43" s="25" t="s">
        <v>124</v>
      </c>
      <c r="E43" s="51" t="s">
        <v>128</v>
      </c>
      <c r="F43" s="16">
        <v>876</v>
      </c>
      <c r="G43" s="16" t="s">
        <v>47</v>
      </c>
      <c r="H43" s="16">
        <v>1</v>
      </c>
      <c r="I43" s="16">
        <v>14235000</v>
      </c>
      <c r="J43" s="25" t="s">
        <v>79</v>
      </c>
      <c r="K43" s="40">
        <f>1350000*1.25</f>
        <v>1687500</v>
      </c>
      <c r="L43" s="46" t="s">
        <v>126</v>
      </c>
      <c r="M43" s="22">
        <v>42125</v>
      </c>
      <c r="N43" s="31">
        <v>42156</v>
      </c>
      <c r="O43" s="41" t="s">
        <v>129</v>
      </c>
      <c r="P43" s="32" t="s">
        <v>53</v>
      </c>
      <c r="Q43" s="16" t="s">
        <v>43</v>
      </c>
    </row>
    <row r="44" spans="1:17" s="38" customFormat="1" ht="51" x14ac:dyDescent="0.25">
      <c r="A44" s="34">
        <v>32</v>
      </c>
      <c r="B44" s="15" t="s">
        <v>130</v>
      </c>
      <c r="C44" s="25" t="s">
        <v>131</v>
      </c>
      <c r="D44" s="25" t="s">
        <v>124</v>
      </c>
      <c r="E44" s="42" t="s">
        <v>132</v>
      </c>
      <c r="F44" s="16">
        <v>876</v>
      </c>
      <c r="G44" s="16" t="s">
        <v>47</v>
      </c>
      <c r="H44" s="16">
        <v>1</v>
      </c>
      <c r="I44" s="16">
        <v>14235000</v>
      </c>
      <c r="J44" s="25" t="s">
        <v>79</v>
      </c>
      <c r="K44" s="40">
        <f>5700000*1.25</f>
        <v>7125000</v>
      </c>
      <c r="L44" s="41" t="s">
        <v>126</v>
      </c>
      <c r="M44" s="22">
        <v>42125</v>
      </c>
      <c r="N44" s="31">
        <v>42156</v>
      </c>
      <c r="O44" s="41" t="s">
        <v>129</v>
      </c>
      <c r="P44" s="32" t="s">
        <v>53</v>
      </c>
      <c r="Q44" s="16" t="s">
        <v>43</v>
      </c>
    </row>
    <row r="45" spans="1:17" s="38" customFormat="1" ht="76.5" x14ac:dyDescent="0.25">
      <c r="A45" s="34">
        <v>33</v>
      </c>
      <c r="B45" s="15" t="s">
        <v>48</v>
      </c>
      <c r="C45" s="25" t="s">
        <v>115</v>
      </c>
      <c r="D45" s="26" t="s">
        <v>50</v>
      </c>
      <c r="E45" s="49" t="s">
        <v>133</v>
      </c>
      <c r="F45" s="16">
        <v>876</v>
      </c>
      <c r="G45" s="16" t="s">
        <v>47</v>
      </c>
      <c r="H45" s="16">
        <v>1</v>
      </c>
      <c r="I45" s="16">
        <v>14235000</v>
      </c>
      <c r="J45" s="25" t="s">
        <v>79</v>
      </c>
      <c r="K45" s="40">
        <f>3900000*1.25</f>
        <v>4875000</v>
      </c>
      <c r="L45" s="41" t="s">
        <v>126</v>
      </c>
      <c r="M45" s="22">
        <v>42125</v>
      </c>
      <c r="N45" s="31">
        <v>42278</v>
      </c>
      <c r="O45" s="41" t="s">
        <v>127</v>
      </c>
      <c r="P45" s="32" t="s">
        <v>53</v>
      </c>
      <c r="Q45" s="16" t="s">
        <v>43</v>
      </c>
    </row>
    <row r="46" spans="1:17" s="38" customFormat="1" ht="38.25" x14ac:dyDescent="0.25">
      <c r="A46" s="34">
        <v>34</v>
      </c>
      <c r="B46" s="15" t="s">
        <v>48</v>
      </c>
      <c r="C46" s="25" t="s">
        <v>115</v>
      </c>
      <c r="D46" s="26" t="s">
        <v>50</v>
      </c>
      <c r="E46" s="42" t="s">
        <v>134</v>
      </c>
      <c r="F46" s="16">
        <v>876</v>
      </c>
      <c r="G46" s="16" t="s">
        <v>47</v>
      </c>
      <c r="H46" s="16">
        <v>1</v>
      </c>
      <c r="I46" s="28">
        <v>50215828005</v>
      </c>
      <c r="J46" s="25" t="s">
        <v>83</v>
      </c>
      <c r="K46" s="21">
        <f>885000*1.25</f>
        <v>1106250</v>
      </c>
      <c r="L46" s="41" t="s">
        <v>126</v>
      </c>
      <c r="M46" s="22">
        <v>42125</v>
      </c>
      <c r="N46" s="31">
        <v>42278</v>
      </c>
      <c r="O46" s="41" t="s">
        <v>112</v>
      </c>
      <c r="P46" s="32" t="s">
        <v>53</v>
      </c>
      <c r="Q46" s="16" t="s">
        <v>43</v>
      </c>
    </row>
    <row r="47" spans="1:17" s="38" customFormat="1" ht="38.25" x14ac:dyDescent="0.25">
      <c r="A47" s="34">
        <v>35</v>
      </c>
      <c r="B47" s="15" t="s">
        <v>106</v>
      </c>
      <c r="C47" s="16">
        <v>7492080</v>
      </c>
      <c r="D47" s="25" t="s">
        <v>93</v>
      </c>
      <c r="E47" s="42" t="s">
        <v>135</v>
      </c>
      <c r="F47" s="16">
        <v>876</v>
      </c>
      <c r="G47" s="16" t="s">
        <v>47</v>
      </c>
      <c r="H47" s="16">
        <v>1</v>
      </c>
      <c r="I47" s="28">
        <v>50215828005</v>
      </c>
      <c r="J47" s="25" t="s">
        <v>83</v>
      </c>
      <c r="K47" s="21">
        <f>3481000*1.25</f>
        <v>4351250</v>
      </c>
      <c r="L47" s="41" t="s">
        <v>126</v>
      </c>
      <c r="M47" s="22">
        <v>42125</v>
      </c>
      <c r="N47" s="31">
        <v>42248</v>
      </c>
      <c r="O47" s="41" t="s">
        <v>127</v>
      </c>
      <c r="P47" s="32" t="s">
        <v>53</v>
      </c>
      <c r="Q47" s="16" t="s">
        <v>43</v>
      </c>
    </row>
    <row r="48" spans="1:17" s="38" customFormat="1" ht="51" x14ac:dyDescent="0.25">
      <c r="A48" s="34">
        <v>36</v>
      </c>
      <c r="B48" s="15" t="s">
        <v>98</v>
      </c>
      <c r="C48" s="25" t="s">
        <v>136</v>
      </c>
      <c r="D48" s="25" t="s">
        <v>108</v>
      </c>
      <c r="E48" s="42" t="s">
        <v>137</v>
      </c>
      <c r="F48" s="16">
        <v>876</v>
      </c>
      <c r="G48" s="16" t="s">
        <v>47</v>
      </c>
      <c r="H48" s="16">
        <v>1</v>
      </c>
      <c r="I48" s="28">
        <v>50215828005</v>
      </c>
      <c r="J48" s="25" t="s">
        <v>83</v>
      </c>
      <c r="K48" s="43">
        <f>10974000*1.25</f>
        <v>13717500</v>
      </c>
      <c r="L48" s="22">
        <v>42095</v>
      </c>
      <c r="M48" s="22">
        <v>42125</v>
      </c>
      <c r="N48" s="31">
        <v>42217</v>
      </c>
      <c r="O48" s="41" t="s">
        <v>112</v>
      </c>
      <c r="P48" s="32" t="s">
        <v>53</v>
      </c>
      <c r="Q48" s="16" t="s">
        <v>43</v>
      </c>
    </row>
    <row r="49" spans="1:17" s="38" customFormat="1" ht="38.25" customHeight="1" x14ac:dyDescent="0.25">
      <c r="A49" s="34">
        <v>37</v>
      </c>
      <c r="B49" s="15" t="s">
        <v>36</v>
      </c>
      <c r="C49" s="16">
        <v>701</v>
      </c>
      <c r="D49" s="17" t="s">
        <v>37</v>
      </c>
      <c r="E49" s="18" t="s">
        <v>138</v>
      </c>
      <c r="F49" s="19" t="s">
        <v>39</v>
      </c>
      <c r="G49" s="16" t="s">
        <v>40</v>
      </c>
      <c r="H49" s="20">
        <v>167</v>
      </c>
      <c r="I49" s="16">
        <v>45293590</v>
      </c>
      <c r="J49" s="16" t="s">
        <v>41</v>
      </c>
      <c r="K49" s="21">
        <f>2453000*1.1</f>
        <v>2698300</v>
      </c>
      <c r="L49" s="22">
        <v>42125</v>
      </c>
      <c r="M49" s="22">
        <v>42186</v>
      </c>
      <c r="N49" s="22">
        <v>42491</v>
      </c>
      <c r="O49" s="22">
        <v>42491</v>
      </c>
      <c r="P49" s="23" t="s">
        <v>42</v>
      </c>
      <c r="Q49" s="16" t="s">
        <v>43</v>
      </c>
    </row>
    <row r="50" spans="1:17" s="38" customFormat="1" ht="38.25" x14ac:dyDescent="0.25">
      <c r="A50" s="34">
        <v>38</v>
      </c>
      <c r="B50" s="15" t="s">
        <v>44</v>
      </c>
      <c r="C50" s="15">
        <v>742</v>
      </c>
      <c r="D50" s="17" t="s">
        <v>45</v>
      </c>
      <c r="E50" s="18" t="s">
        <v>139</v>
      </c>
      <c r="F50" s="16">
        <v>876</v>
      </c>
      <c r="G50" s="16" t="s">
        <v>47</v>
      </c>
      <c r="H50" s="16">
        <v>1</v>
      </c>
      <c r="I50" s="16">
        <v>45293590</v>
      </c>
      <c r="J50" s="16" t="s">
        <v>41</v>
      </c>
      <c r="K50" s="21">
        <f>876000*1.1</f>
        <v>963600.00000000012</v>
      </c>
      <c r="L50" s="22">
        <v>42125</v>
      </c>
      <c r="M50" s="22">
        <v>42186</v>
      </c>
      <c r="N50" s="22">
        <v>42491</v>
      </c>
      <c r="O50" s="22">
        <v>42491</v>
      </c>
      <c r="P50" s="23" t="s">
        <v>42</v>
      </c>
      <c r="Q50" s="16" t="s">
        <v>43</v>
      </c>
    </row>
    <row r="51" spans="1:17" s="38" customFormat="1" ht="63.75" x14ac:dyDescent="0.25">
      <c r="A51" s="34">
        <v>39</v>
      </c>
      <c r="B51" s="15" t="s">
        <v>98</v>
      </c>
      <c r="C51" s="25" t="s">
        <v>140</v>
      </c>
      <c r="D51" s="26" t="s">
        <v>100</v>
      </c>
      <c r="E51" s="27" t="s">
        <v>141</v>
      </c>
      <c r="F51" s="16">
        <v>876</v>
      </c>
      <c r="G51" s="16" t="s">
        <v>47</v>
      </c>
      <c r="H51" s="16">
        <v>1</v>
      </c>
      <c r="I51" s="28">
        <v>75255811004</v>
      </c>
      <c r="J51" s="26" t="s">
        <v>52</v>
      </c>
      <c r="K51" s="29">
        <f>5543930.9438*1.25</f>
        <v>6929913.6797499992</v>
      </c>
      <c r="L51" s="30">
        <v>42125</v>
      </c>
      <c r="M51" s="30">
        <v>42156</v>
      </c>
      <c r="N51" s="31">
        <v>42186</v>
      </c>
      <c r="O51" s="30">
        <v>42339</v>
      </c>
      <c r="P51" s="32" t="s">
        <v>53</v>
      </c>
      <c r="Q51" s="16" t="s">
        <v>43</v>
      </c>
    </row>
    <row r="52" spans="1:17" s="38" customFormat="1" ht="76.5" x14ac:dyDescent="0.25">
      <c r="A52" s="34">
        <v>40</v>
      </c>
      <c r="B52" s="15" t="s">
        <v>98</v>
      </c>
      <c r="C52" s="25" t="s">
        <v>142</v>
      </c>
      <c r="D52" s="26" t="s">
        <v>100</v>
      </c>
      <c r="E52" s="27" t="s">
        <v>143</v>
      </c>
      <c r="F52" s="16">
        <v>876</v>
      </c>
      <c r="G52" s="16" t="s">
        <v>47</v>
      </c>
      <c r="H52" s="16">
        <v>1</v>
      </c>
      <c r="I52" s="28">
        <v>75255811004</v>
      </c>
      <c r="J52" s="26" t="s">
        <v>52</v>
      </c>
      <c r="K52" s="29">
        <f>14065382.2356*1.25</f>
        <v>17581727.794500001</v>
      </c>
      <c r="L52" s="30">
        <v>42125</v>
      </c>
      <c r="M52" s="30">
        <v>42156</v>
      </c>
      <c r="N52" s="31">
        <v>42186</v>
      </c>
      <c r="O52" s="30">
        <v>42339</v>
      </c>
      <c r="P52" s="32" t="s">
        <v>53</v>
      </c>
      <c r="Q52" s="16" t="s">
        <v>43</v>
      </c>
    </row>
    <row r="53" spans="1:17" s="38" customFormat="1" ht="38.25" x14ac:dyDescent="0.25">
      <c r="A53" s="34">
        <v>41</v>
      </c>
      <c r="B53" s="15" t="s">
        <v>144</v>
      </c>
      <c r="C53" s="25" t="s">
        <v>145</v>
      </c>
      <c r="D53" s="26" t="s">
        <v>100</v>
      </c>
      <c r="E53" s="27" t="s">
        <v>146</v>
      </c>
      <c r="F53" s="16">
        <v>876</v>
      </c>
      <c r="G53" s="16" t="s">
        <v>47</v>
      </c>
      <c r="H53" s="16">
        <v>1</v>
      </c>
      <c r="I53" s="28">
        <v>75255811004</v>
      </c>
      <c r="J53" s="26" t="s">
        <v>52</v>
      </c>
      <c r="K53" s="52">
        <f>222699.04*1.25</f>
        <v>278373.8</v>
      </c>
      <c r="L53" s="30">
        <v>42125</v>
      </c>
      <c r="M53" s="30">
        <v>42156</v>
      </c>
      <c r="N53" s="31">
        <v>42186</v>
      </c>
      <c r="O53" s="30">
        <v>42339</v>
      </c>
      <c r="P53" s="32" t="s">
        <v>53</v>
      </c>
      <c r="Q53" s="16" t="s">
        <v>43</v>
      </c>
    </row>
    <row r="54" spans="1:17" s="38" customFormat="1" ht="63.75" x14ac:dyDescent="0.25">
      <c r="A54" s="34">
        <v>42</v>
      </c>
      <c r="B54" s="15" t="s">
        <v>147</v>
      </c>
      <c r="C54" s="25" t="s">
        <v>148</v>
      </c>
      <c r="D54" s="26" t="s">
        <v>100</v>
      </c>
      <c r="E54" s="27" t="s">
        <v>149</v>
      </c>
      <c r="F54" s="16">
        <v>876</v>
      </c>
      <c r="G54" s="16" t="s">
        <v>47</v>
      </c>
      <c r="H54" s="16">
        <v>1</v>
      </c>
      <c r="I54" s="28">
        <v>75255811004</v>
      </c>
      <c r="J54" s="26" t="s">
        <v>52</v>
      </c>
      <c r="K54" s="29">
        <f>685560.2586*1.25</f>
        <v>856950.3232499999</v>
      </c>
      <c r="L54" s="30">
        <v>42125</v>
      </c>
      <c r="M54" s="30">
        <v>42156</v>
      </c>
      <c r="N54" s="31">
        <v>42186</v>
      </c>
      <c r="O54" s="30">
        <v>42339</v>
      </c>
      <c r="P54" s="32" t="s">
        <v>53</v>
      </c>
      <c r="Q54" s="16" t="s">
        <v>43</v>
      </c>
    </row>
    <row r="55" spans="1:17" s="38" customFormat="1" ht="63.75" x14ac:dyDescent="0.2">
      <c r="A55" s="34">
        <v>43</v>
      </c>
      <c r="B55" s="15" t="s">
        <v>150</v>
      </c>
      <c r="C55" s="25">
        <v>4540381</v>
      </c>
      <c r="D55" s="26" t="s">
        <v>100</v>
      </c>
      <c r="E55" s="53" t="s">
        <v>151</v>
      </c>
      <c r="F55" s="16">
        <v>876</v>
      </c>
      <c r="G55" s="16" t="s">
        <v>47</v>
      </c>
      <c r="H55" s="16">
        <v>1</v>
      </c>
      <c r="I55" s="28">
        <v>75255811004</v>
      </c>
      <c r="J55" s="26" t="s">
        <v>52</v>
      </c>
      <c r="K55" s="29">
        <f>296404.2*1.25</f>
        <v>370505.25</v>
      </c>
      <c r="L55" s="30">
        <v>42125</v>
      </c>
      <c r="M55" s="30">
        <v>42156</v>
      </c>
      <c r="N55" s="31">
        <v>42186</v>
      </c>
      <c r="O55" s="30">
        <v>42339</v>
      </c>
      <c r="P55" s="32" t="s">
        <v>53</v>
      </c>
      <c r="Q55" s="16" t="s">
        <v>43</v>
      </c>
    </row>
    <row r="56" spans="1:17" s="38" customFormat="1" ht="89.25" x14ac:dyDescent="0.25">
      <c r="A56" s="34">
        <v>44</v>
      </c>
      <c r="B56" s="15" t="s">
        <v>120</v>
      </c>
      <c r="C56" s="25" t="s">
        <v>121</v>
      </c>
      <c r="D56" s="26" t="s">
        <v>100</v>
      </c>
      <c r="E56" s="44" t="s">
        <v>152</v>
      </c>
      <c r="F56" s="16">
        <v>876</v>
      </c>
      <c r="G56" s="16" t="s">
        <v>47</v>
      </c>
      <c r="H56" s="16">
        <v>1</v>
      </c>
      <c r="I56" s="16">
        <v>27209000</v>
      </c>
      <c r="J56" s="25" t="s">
        <v>95</v>
      </c>
      <c r="K56" s="40">
        <f>56435910*1.25</f>
        <v>70544887.5</v>
      </c>
      <c r="L56" s="22">
        <v>42125</v>
      </c>
      <c r="M56" s="22">
        <v>42156</v>
      </c>
      <c r="N56" s="31">
        <v>42186</v>
      </c>
      <c r="O56" s="22">
        <v>42339</v>
      </c>
      <c r="P56" s="32" t="s">
        <v>53</v>
      </c>
      <c r="Q56" s="16" t="s">
        <v>43</v>
      </c>
    </row>
    <row r="57" spans="1:17" s="38" customFormat="1" ht="38.25" x14ac:dyDescent="0.25">
      <c r="A57" s="34">
        <v>45</v>
      </c>
      <c r="B57" s="15" t="s">
        <v>48</v>
      </c>
      <c r="C57" s="25" t="s">
        <v>153</v>
      </c>
      <c r="D57" s="26" t="s">
        <v>50</v>
      </c>
      <c r="E57" s="54" t="s">
        <v>154</v>
      </c>
      <c r="F57" s="16">
        <v>876</v>
      </c>
      <c r="G57" s="16" t="s">
        <v>47</v>
      </c>
      <c r="H57" s="16">
        <v>1</v>
      </c>
      <c r="I57" s="16">
        <v>14235000</v>
      </c>
      <c r="J57" s="25" t="s">
        <v>79</v>
      </c>
      <c r="K57" s="52">
        <f>5901074.35*1.25</f>
        <v>7376342.9375</v>
      </c>
      <c r="L57" s="41" t="s">
        <v>155</v>
      </c>
      <c r="M57" s="22">
        <v>42156</v>
      </c>
      <c r="N57" s="31">
        <v>42248</v>
      </c>
      <c r="O57" s="41" t="s">
        <v>127</v>
      </c>
      <c r="P57" s="32" t="s">
        <v>53</v>
      </c>
      <c r="Q57" s="16" t="s">
        <v>43</v>
      </c>
    </row>
    <row r="58" spans="1:17" s="38" customFormat="1" ht="51" x14ac:dyDescent="0.25">
      <c r="A58" s="34">
        <v>46</v>
      </c>
      <c r="B58" s="15" t="s">
        <v>117</v>
      </c>
      <c r="C58" s="25" t="s">
        <v>153</v>
      </c>
      <c r="D58" s="26" t="s">
        <v>50</v>
      </c>
      <c r="E58" s="42" t="s">
        <v>156</v>
      </c>
      <c r="F58" s="16">
        <v>876</v>
      </c>
      <c r="G58" s="16" t="s">
        <v>47</v>
      </c>
      <c r="H58" s="16">
        <v>1</v>
      </c>
      <c r="I58" s="16">
        <v>14235000</v>
      </c>
      <c r="J58" s="25" t="s">
        <v>79</v>
      </c>
      <c r="K58" s="52">
        <f>26193449.93*1.25</f>
        <v>32741812.412500001</v>
      </c>
      <c r="L58" s="41" t="s">
        <v>155</v>
      </c>
      <c r="M58" s="22">
        <v>42156</v>
      </c>
      <c r="N58" s="31">
        <v>42217</v>
      </c>
      <c r="O58" s="41" t="s">
        <v>127</v>
      </c>
      <c r="P58" s="32" t="s">
        <v>53</v>
      </c>
      <c r="Q58" s="16" t="s">
        <v>43</v>
      </c>
    </row>
    <row r="59" spans="1:17" s="38" customFormat="1" ht="51" x14ac:dyDescent="0.25">
      <c r="A59" s="34">
        <v>47</v>
      </c>
      <c r="B59" s="15" t="s">
        <v>102</v>
      </c>
      <c r="C59" s="16">
        <v>4510040</v>
      </c>
      <c r="D59" s="25" t="s">
        <v>108</v>
      </c>
      <c r="E59" s="42" t="s">
        <v>157</v>
      </c>
      <c r="F59" s="16">
        <v>876</v>
      </c>
      <c r="G59" s="16" t="s">
        <v>47</v>
      </c>
      <c r="H59" s="16">
        <v>1</v>
      </c>
      <c r="I59" s="28">
        <v>50215828005</v>
      </c>
      <c r="J59" s="25" t="s">
        <v>83</v>
      </c>
      <c r="K59" s="43">
        <f>9735000*1.25</f>
        <v>12168750</v>
      </c>
      <c r="L59" s="41" t="s">
        <v>155</v>
      </c>
      <c r="M59" s="22">
        <v>42156</v>
      </c>
      <c r="N59" s="31">
        <v>42186</v>
      </c>
      <c r="O59" s="41" t="s">
        <v>112</v>
      </c>
      <c r="P59" s="32" t="s">
        <v>53</v>
      </c>
      <c r="Q59" s="16" t="s">
        <v>43</v>
      </c>
    </row>
    <row r="60" spans="1:17" s="38" customFormat="1" ht="102" x14ac:dyDescent="0.25">
      <c r="A60" s="34">
        <v>48</v>
      </c>
      <c r="B60" s="33" t="s">
        <v>158</v>
      </c>
      <c r="C60" s="25" t="s">
        <v>159</v>
      </c>
      <c r="D60" s="25" t="s">
        <v>108</v>
      </c>
      <c r="E60" s="42" t="s">
        <v>160</v>
      </c>
      <c r="F60" s="16">
        <v>876</v>
      </c>
      <c r="G60" s="16" t="s">
        <v>47</v>
      </c>
      <c r="H60" s="16">
        <v>1</v>
      </c>
      <c r="I60" s="28">
        <v>50215828005</v>
      </c>
      <c r="J60" s="25" t="s">
        <v>83</v>
      </c>
      <c r="K60" s="21">
        <f>3941200*1.25</f>
        <v>4926500</v>
      </c>
      <c r="L60" s="41" t="s">
        <v>155</v>
      </c>
      <c r="M60" s="22">
        <v>42156</v>
      </c>
      <c r="N60" s="31">
        <v>42186</v>
      </c>
      <c r="O60" s="41" t="s">
        <v>112</v>
      </c>
      <c r="P60" s="32" t="s">
        <v>53</v>
      </c>
      <c r="Q60" s="16" t="s">
        <v>43</v>
      </c>
    </row>
    <row r="61" spans="1:17" s="38" customFormat="1" ht="51" x14ac:dyDescent="0.25">
      <c r="A61" s="34">
        <v>49</v>
      </c>
      <c r="B61" s="15" t="s">
        <v>98</v>
      </c>
      <c r="C61" s="25" t="s">
        <v>161</v>
      </c>
      <c r="D61" s="25" t="s">
        <v>108</v>
      </c>
      <c r="E61" s="42" t="s">
        <v>162</v>
      </c>
      <c r="F61" s="16">
        <v>876</v>
      </c>
      <c r="G61" s="16" t="s">
        <v>47</v>
      </c>
      <c r="H61" s="16">
        <v>1</v>
      </c>
      <c r="I61" s="28">
        <v>50215828005</v>
      </c>
      <c r="J61" s="25" t="s">
        <v>83</v>
      </c>
      <c r="K61" s="21">
        <f>3422000*1.25</f>
        <v>4277500</v>
      </c>
      <c r="L61" s="41" t="s">
        <v>155</v>
      </c>
      <c r="M61" s="22">
        <v>42156</v>
      </c>
      <c r="N61" s="31">
        <v>42186</v>
      </c>
      <c r="O61" s="41" t="s">
        <v>112</v>
      </c>
      <c r="P61" s="32" t="s">
        <v>53</v>
      </c>
      <c r="Q61" s="16" t="s">
        <v>43</v>
      </c>
    </row>
    <row r="62" spans="1:17" s="38" customFormat="1" ht="51" x14ac:dyDescent="0.25">
      <c r="A62" s="34">
        <v>50</v>
      </c>
      <c r="B62" s="15" t="s">
        <v>98</v>
      </c>
      <c r="C62" s="16">
        <v>4510221</v>
      </c>
      <c r="D62" s="25" t="s">
        <v>108</v>
      </c>
      <c r="E62" s="42" t="s">
        <v>163</v>
      </c>
      <c r="F62" s="16">
        <v>876</v>
      </c>
      <c r="G62" s="16" t="s">
        <v>47</v>
      </c>
      <c r="H62" s="16">
        <v>1</v>
      </c>
      <c r="I62" s="28">
        <v>50215828005</v>
      </c>
      <c r="J62" s="25" t="s">
        <v>83</v>
      </c>
      <c r="K62" s="21">
        <f>6372000*1.25</f>
        <v>7965000</v>
      </c>
      <c r="L62" s="41" t="s">
        <v>155</v>
      </c>
      <c r="M62" s="22">
        <v>42156</v>
      </c>
      <c r="N62" s="31">
        <v>42186</v>
      </c>
      <c r="O62" s="41" t="s">
        <v>112</v>
      </c>
      <c r="P62" s="32" t="s">
        <v>53</v>
      </c>
      <c r="Q62" s="16" t="s">
        <v>43</v>
      </c>
    </row>
    <row r="63" spans="1:17" s="38" customFormat="1" ht="51" x14ac:dyDescent="0.25">
      <c r="A63" s="34">
        <v>51</v>
      </c>
      <c r="B63" s="15" t="s">
        <v>98</v>
      </c>
      <c r="C63" s="25" t="s">
        <v>164</v>
      </c>
      <c r="D63" s="25" t="s">
        <v>124</v>
      </c>
      <c r="E63" s="39" t="s">
        <v>165</v>
      </c>
      <c r="F63" s="16">
        <v>876</v>
      </c>
      <c r="G63" s="16" t="s">
        <v>47</v>
      </c>
      <c r="H63" s="16">
        <v>1</v>
      </c>
      <c r="I63" s="16">
        <v>14235000</v>
      </c>
      <c r="J63" s="25" t="s">
        <v>79</v>
      </c>
      <c r="K63" s="40">
        <f>1400000*1.25</f>
        <v>1750000</v>
      </c>
      <c r="L63" s="22">
        <v>42125</v>
      </c>
      <c r="M63" s="22">
        <v>42156</v>
      </c>
      <c r="N63" s="31">
        <v>42186</v>
      </c>
      <c r="O63" s="41" t="s">
        <v>127</v>
      </c>
      <c r="P63" s="32" t="s">
        <v>53</v>
      </c>
      <c r="Q63" s="16" t="s">
        <v>43</v>
      </c>
    </row>
    <row r="64" spans="1:17" s="38" customFormat="1" ht="102" x14ac:dyDescent="0.25">
      <c r="A64" s="34">
        <v>52</v>
      </c>
      <c r="B64" s="15" t="s">
        <v>102</v>
      </c>
      <c r="C64" s="25" t="s">
        <v>166</v>
      </c>
      <c r="D64" s="25" t="s">
        <v>124</v>
      </c>
      <c r="E64" s="55" t="s">
        <v>167</v>
      </c>
      <c r="F64" s="16">
        <v>876</v>
      </c>
      <c r="G64" s="16" t="s">
        <v>47</v>
      </c>
      <c r="H64" s="16">
        <v>1</v>
      </c>
      <c r="I64" s="16">
        <v>14235000</v>
      </c>
      <c r="J64" s="25" t="s">
        <v>79</v>
      </c>
      <c r="K64" s="40">
        <f>7900000*1.25</f>
        <v>9875000</v>
      </c>
      <c r="L64" s="22" t="s">
        <v>155</v>
      </c>
      <c r="M64" s="22">
        <v>42156</v>
      </c>
      <c r="N64" s="31">
        <v>42217</v>
      </c>
      <c r="O64" s="41" t="s">
        <v>129</v>
      </c>
      <c r="P64" s="32" t="s">
        <v>53</v>
      </c>
      <c r="Q64" s="16" t="s">
        <v>43</v>
      </c>
    </row>
    <row r="65" spans="1:17" s="38" customFormat="1" ht="38.25" x14ac:dyDescent="0.25">
      <c r="A65" s="34">
        <v>53</v>
      </c>
      <c r="B65" s="15" t="s">
        <v>65</v>
      </c>
      <c r="C65" s="16">
        <v>60500102</v>
      </c>
      <c r="D65" s="56" t="s">
        <v>66</v>
      </c>
      <c r="E65" s="57" t="s">
        <v>168</v>
      </c>
      <c r="F65" s="16">
        <v>876</v>
      </c>
      <c r="G65" s="16" t="s">
        <v>47</v>
      </c>
      <c r="H65" s="16">
        <v>1</v>
      </c>
      <c r="I65" s="16">
        <v>27209000</v>
      </c>
      <c r="J65" s="16" t="s">
        <v>77</v>
      </c>
      <c r="K65" s="58">
        <f>42000024*1.2</f>
        <v>50400028.799999997</v>
      </c>
      <c r="L65" s="31">
        <v>42156</v>
      </c>
      <c r="M65" s="36">
        <v>42217</v>
      </c>
      <c r="N65" s="31">
        <v>42522</v>
      </c>
      <c r="O65" s="31">
        <v>42522</v>
      </c>
      <c r="P65" s="23" t="s">
        <v>42</v>
      </c>
      <c r="Q65" s="16" t="s">
        <v>43</v>
      </c>
    </row>
    <row r="66" spans="1:17" s="38" customFormat="1" ht="63.75" x14ac:dyDescent="0.25">
      <c r="A66" s="34">
        <v>54</v>
      </c>
      <c r="B66" s="15" t="s">
        <v>48</v>
      </c>
      <c r="C66" s="25" t="s">
        <v>115</v>
      </c>
      <c r="D66" s="26" t="s">
        <v>50</v>
      </c>
      <c r="E66" s="44" t="s">
        <v>169</v>
      </c>
      <c r="F66" s="16">
        <v>876</v>
      </c>
      <c r="G66" s="16" t="s">
        <v>47</v>
      </c>
      <c r="H66" s="16">
        <v>1</v>
      </c>
      <c r="I66" s="16">
        <v>27209000</v>
      </c>
      <c r="J66" s="25" t="s">
        <v>95</v>
      </c>
      <c r="K66" s="40">
        <f>10104659*1.25</f>
        <v>12630823.75</v>
      </c>
      <c r="L66" s="22">
        <v>42156</v>
      </c>
      <c r="M66" s="22">
        <v>42186</v>
      </c>
      <c r="N66" s="31">
        <v>42217</v>
      </c>
      <c r="O66" s="45">
        <v>42339</v>
      </c>
      <c r="P66" s="32" t="s">
        <v>53</v>
      </c>
      <c r="Q66" s="16" t="s">
        <v>43</v>
      </c>
    </row>
    <row r="67" spans="1:17" s="38" customFormat="1" ht="51" customHeight="1" x14ac:dyDescent="0.25">
      <c r="A67" s="34">
        <v>55</v>
      </c>
      <c r="B67" s="15" t="s">
        <v>170</v>
      </c>
      <c r="C67" s="25">
        <v>4540020</v>
      </c>
      <c r="D67" s="25" t="s">
        <v>124</v>
      </c>
      <c r="E67" s="25" t="s">
        <v>171</v>
      </c>
      <c r="F67" s="16">
        <v>876</v>
      </c>
      <c r="G67" s="16" t="s">
        <v>47</v>
      </c>
      <c r="H67" s="16">
        <v>1</v>
      </c>
      <c r="I67" s="16">
        <v>14235000</v>
      </c>
      <c r="J67" s="25" t="s">
        <v>79</v>
      </c>
      <c r="K67" s="52">
        <f>7921756.59*1.25</f>
        <v>9902195.7375000007</v>
      </c>
      <c r="L67" s="41" t="s">
        <v>81</v>
      </c>
      <c r="M67" s="22" t="s">
        <v>172</v>
      </c>
      <c r="N67" s="31">
        <v>42248</v>
      </c>
      <c r="O67" s="41" t="s">
        <v>127</v>
      </c>
      <c r="P67" s="32" t="s">
        <v>53</v>
      </c>
      <c r="Q67" s="16" t="s">
        <v>43</v>
      </c>
    </row>
    <row r="68" spans="1:17" s="38" customFormat="1" ht="51" x14ac:dyDescent="0.25">
      <c r="A68" s="34">
        <v>56</v>
      </c>
      <c r="B68" s="15" t="s">
        <v>117</v>
      </c>
      <c r="C68" s="25" t="s">
        <v>153</v>
      </c>
      <c r="D68" s="25" t="s">
        <v>124</v>
      </c>
      <c r="E68" s="42" t="s">
        <v>173</v>
      </c>
      <c r="F68" s="16">
        <v>876</v>
      </c>
      <c r="G68" s="16" t="s">
        <v>47</v>
      </c>
      <c r="H68" s="16">
        <v>1</v>
      </c>
      <c r="I68" s="16">
        <v>14235000</v>
      </c>
      <c r="J68" s="25" t="s">
        <v>79</v>
      </c>
      <c r="K68" s="52">
        <f>4984174.21*1.25</f>
        <v>6230217.7625000002</v>
      </c>
      <c r="L68" s="41" t="s">
        <v>81</v>
      </c>
      <c r="M68" s="22">
        <v>42186</v>
      </c>
      <c r="N68" s="31">
        <v>42217</v>
      </c>
      <c r="O68" s="41" t="s">
        <v>127</v>
      </c>
      <c r="P68" s="32" t="s">
        <v>53</v>
      </c>
      <c r="Q68" s="16" t="s">
        <v>43</v>
      </c>
    </row>
    <row r="69" spans="1:17" s="38" customFormat="1" ht="51" x14ac:dyDescent="0.25">
      <c r="A69" s="34">
        <v>57</v>
      </c>
      <c r="B69" s="15" t="s">
        <v>170</v>
      </c>
      <c r="C69" s="16">
        <v>4540296</v>
      </c>
      <c r="D69" s="25" t="s">
        <v>124</v>
      </c>
      <c r="E69" s="42" t="s">
        <v>174</v>
      </c>
      <c r="F69" s="16">
        <v>876</v>
      </c>
      <c r="G69" s="16" t="s">
        <v>47</v>
      </c>
      <c r="H69" s="16">
        <v>1</v>
      </c>
      <c r="I69" s="16">
        <v>14235000</v>
      </c>
      <c r="J69" s="25" t="s">
        <v>79</v>
      </c>
      <c r="K69" s="52">
        <f>2700000*1.25</f>
        <v>3375000</v>
      </c>
      <c r="L69" s="59" t="s">
        <v>81</v>
      </c>
      <c r="M69" s="22">
        <v>42186</v>
      </c>
      <c r="N69" s="31">
        <v>42217</v>
      </c>
      <c r="O69" s="41" t="s">
        <v>129</v>
      </c>
      <c r="P69" s="32" t="s">
        <v>53</v>
      </c>
      <c r="Q69" s="16" t="s">
        <v>43</v>
      </c>
    </row>
    <row r="70" spans="1:17" s="38" customFormat="1" ht="55.5" customHeight="1" x14ac:dyDescent="0.25">
      <c r="A70" s="34">
        <v>58</v>
      </c>
      <c r="B70" s="15" t="s">
        <v>175</v>
      </c>
      <c r="C70" s="25" t="s">
        <v>164</v>
      </c>
      <c r="D70" s="25" t="s">
        <v>124</v>
      </c>
      <c r="E70" s="39" t="s">
        <v>208</v>
      </c>
      <c r="F70" s="16">
        <v>876</v>
      </c>
      <c r="G70" s="16" t="s">
        <v>47</v>
      </c>
      <c r="H70" s="16">
        <v>1</v>
      </c>
      <c r="I70" s="16">
        <v>14235000</v>
      </c>
      <c r="J70" s="25" t="s">
        <v>79</v>
      </c>
      <c r="K70" s="60">
        <f>1350000*1.25</f>
        <v>1687500</v>
      </c>
      <c r="L70" s="41" t="s">
        <v>81</v>
      </c>
      <c r="M70" s="22" t="s">
        <v>176</v>
      </c>
      <c r="N70" s="31">
        <v>42217</v>
      </c>
      <c r="O70" s="41" t="s">
        <v>129</v>
      </c>
      <c r="P70" s="32" t="s">
        <v>53</v>
      </c>
      <c r="Q70" s="16" t="s">
        <v>43</v>
      </c>
    </row>
    <row r="71" spans="1:17" s="38" customFormat="1" ht="76.5" x14ac:dyDescent="0.25">
      <c r="A71" s="34">
        <v>59</v>
      </c>
      <c r="B71" s="15" t="s">
        <v>175</v>
      </c>
      <c r="C71" s="25" t="s">
        <v>177</v>
      </c>
      <c r="D71" s="25" t="s">
        <v>108</v>
      </c>
      <c r="E71" s="42" t="s">
        <v>178</v>
      </c>
      <c r="F71" s="16">
        <v>876</v>
      </c>
      <c r="G71" s="16" t="s">
        <v>47</v>
      </c>
      <c r="H71" s="16">
        <v>1</v>
      </c>
      <c r="I71" s="28">
        <v>50215828005</v>
      </c>
      <c r="J71" s="25" t="s">
        <v>83</v>
      </c>
      <c r="K71" s="21">
        <f>10300000*1.25</f>
        <v>12875000</v>
      </c>
      <c r="L71" s="41" t="s">
        <v>81</v>
      </c>
      <c r="M71" s="22">
        <v>42186</v>
      </c>
      <c r="N71" s="31">
        <v>42248</v>
      </c>
      <c r="O71" s="41" t="s">
        <v>112</v>
      </c>
      <c r="P71" s="32" t="s">
        <v>53</v>
      </c>
      <c r="Q71" s="16" t="s">
        <v>43</v>
      </c>
    </row>
    <row r="72" spans="1:17" s="38" customFormat="1" ht="51" x14ac:dyDescent="0.25">
      <c r="A72" s="34">
        <v>60</v>
      </c>
      <c r="B72" s="15" t="s">
        <v>117</v>
      </c>
      <c r="C72" s="16">
        <v>4540361</v>
      </c>
      <c r="D72" s="25" t="s">
        <v>108</v>
      </c>
      <c r="E72" s="42" t="s">
        <v>179</v>
      </c>
      <c r="F72" s="16">
        <v>876</v>
      </c>
      <c r="G72" s="16" t="s">
        <v>47</v>
      </c>
      <c r="H72" s="16">
        <v>1</v>
      </c>
      <c r="I72" s="28">
        <v>50215828005</v>
      </c>
      <c r="J72" s="25" t="s">
        <v>83</v>
      </c>
      <c r="K72" s="21">
        <f>2360000*1.25</f>
        <v>2950000</v>
      </c>
      <c r="L72" s="41" t="s">
        <v>81</v>
      </c>
      <c r="M72" s="22">
        <v>42186</v>
      </c>
      <c r="N72" s="31">
        <v>42217</v>
      </c>
      <c r="O72" s="41" t="s">
        <v>127</v>
      </c>
      <c r="P72" s="32" t="s">
        <v>53</v>
      </c>
      <c r="Q72" s="16" t="s">
        <v>43</v>
      </c>
    </row>
    <row r="73" spans="1:17" s="38" customFormat="1" ht="51" x14ac:dyDescent="0.25">
      <c r="A73" s="34">
        <v>61</v>
      </c>
      <c r="B73" s="15" t="s">
        <v>170</v>
      </c>
      <c r="C73" s="25" t="s">
        <v>180</v>
      </c>
      <c r="D73" s="25" t="s">
        <v>108</v>
      </c>
      <c r="E73" s="42" t="s">
        <v>181</v>
      </c>
      <c r="F73" s="16">
        <v>876</v>
      </c>
      <c r="G73" s="16" t="s">
        <v>47</v>
      </c>
      <c r="H73" s="16">
        <v>1</v>
      </c>
      <c r="I73" s="28">
        <v>50215828005</v>
      </c>
      <c r="J73" s="25" t="s">
        <v>83</v>
      </c>
      <c r="K73" s="21">
        <f>3776000*1.25</f>
        <v>4720000</v>
      </c>
      <c r="L73" s="41" t="s">
        <v>81</v>
      </c>
      <c r="M73" s="22">
        <v>42186</v>
      </c>
      <c r="N73" s="31">
        <v>42217</v>
      </c>
      <c r="O73" s="41" t="s">
        <v>112</v>
      </c>
      <c r="P73" s="32" t="s">
        <v>53</v>
      </c>
      <c r="Q73" s="16" t="s">
        <v>43</v>
      </c>
    </row>
    <row r="74" spans="1:17" s="38" customFormat="1" ht="63.75" x14ac:dyDescent="0.25">
      <c r="A74" s="34">
        <v>62</v>
      </c>
      <c r="B74" s="15" t="s">
        <v>170</v>
      </c>
      <c r="C74" s="25" t="s">
        <v>148</v>
      </c>
      <c r="D74" s="25" t="s">
        <v>124</v>
      </c>
      <c r="E74" s="42" t="s">
        <v>182</v>
      </c>
      <c r="F74" s="16">
        <v>876</v>
      </c>
      <c r="G74" s="16" t="s">
        <v>47</v>
      </c>
      <c r="H74" s="16">
        <v>1</v>
      </c>
      <c r="I74" s="16">
        <v>14235000</v>
      </c>
      <c r="J74" s="25" t="s">
        <v>79</v>
      </c>
      <c r="K74" s="61">
        <f>8260864.89*1.25</f>
        <v>10326081.112499999</v>
      </c>
      <c r="L74" s="41" t="s">
        <v>183</v>
      </c>
      <c r="M74" s="22">
        <v>42217</v>
      </c>
      <c r="N74" s="31">
        <v>42248</v>
      </c>
      <c r="O74" s="41" t="s">
        <v>184</v>
      </c>
      <c r="P74" s="32" t="s">
        <v>53</v>
      </c>
      <c r="Q74" s="16" t="s">
        <v>43</v>
      </c>
    </row>
    <row r="75" spans="1:17" s="38" customFormat="1" ht="63.75" x14ac:dyDescent="0.25">
      <c r="A75" s="34">
        <v>63</v>
      </c>
      <c r="B75" s="15" t="s">
        <v>98</v>
      </c>
      <c r="C75" s="25" t="s">
        <v>164</v>
      </c>
      <c r="D75" s="25" t="s">
        <v>124</v>
      </c>
      <c r="E75" s="42" t="s">
        <v>185</v>
      </c>
      <c r="F75" s="16">
        <v>876</v>
      </c>
      <c r="G75" s="16" t="s">
        <v>47</v>
      </c>
      <c r="H75" s="16">
        <v>1</v>
      </c>
      <c r="I75" s="16">
        <v>14235000</v>
      </c>
      <c r="J75" s="25" t="s">
        <v>79</v>
      </c>
      <c r="K75" s="52">
        <f>6193724.95*1.25</f>
        <v>7742156.1875</v>
      </c>
      <c r="L75" s="41" t="s">
        <v>183</v>
      </c>
      <c r="M75" s="22">
        <v>42217</v>
      </c>
      <c r="N75" s="31">
        <v>42248</v>
      </c>
      <c r="O75" s="41" t="s">
        <v>184</v>
      </c>
      <c r="P75" s="32" t="s">
        <v>53</v>
      </c>
      <c r="Q75" s="16" t="s">
        <v>43</v>
      </c>
    </row>
    <row r="76" spans="1:17" s="38" customFormat="1" ht="76.5" x14ac:dyDescent="0.25">
      <c r="A76" s="34">
        <v>64</v>
      </c>
      <c r="B76" s="15" t="s">
        <v>102</v>
      </c>
      <c r="C76" s="25" t="s">
        <v>186</v>
      </c>
      <c r="D76" s="26" t="s">
        <v>100</v>
      </c>
      <c r="E76" s="27" t="s">
        <v>187</v>
      </c>
      <c r="F76" s="16">
        <v>876</v>
      </c>
      <c r="G76" s="16" t="s">
        <v>47</v>
      </c>
      <c r="H76" s="16">
        <v>1</v>
      </c>
      <c r="I76" s="28">
        <v>75255811004</v>
      </c>
      <c r="J76" s="26" t="s">
        <v>52</v>
      </c>
      <c r="K76" s="29">
        <f>8051743.216*1.25</f>
        <v>10064679.02</v>
      </c>
      <c r="L76" s="30">
        <v>42217</v>
      </c>
      <c r="M76" s="30">
        <v>42248</v>
      </c>
      <c r="N76" s="31">
        <v>42278</v>
      </c>
      <c r="O76" s="30">
        <v>42339</v>
      </c>
      <c r="P76" s="32" t="s">
        <v>53</v>
      </c>
      <c r="Q76" s="16" t="s">
        <v>43</v>
      </c>
    </row>
    <row r="77" spans="1:17" s="38" customFormat="1" ht="38.25" x14ac:dyDescent="0.25">
      <c r="A77" s="34">
        <v>65</v>
      </c>
      <c r="B77" s="15" t="s">
        <v>130</v>
      </c>
      <c r="C77" s="25" t="s">
        <v>188</v>
      </c>
      <c r="D77" s="25" t="s">
        <v>124</v>
      </c>
      <c r="E77" s="42" t="s">
        <v>189</v>
      </c>
      <c r="F77" s="16">
        <v>876</v>
      </c>
      <c r="G77" s="16" t="s">
        <v>47</v>
      </c>
      <c r="H77" s="16">
        <v>1</v>
      </c>
      <c r="I77" s="16">
        <v>14235000</v>
      </c>
      <c r="J77" s="25" t="s">
        <v>79</v>
      </c>
      <c r="K77" s="52">
        <f>2938754.21*1.25</f>
        <v>3673442.7625000002</v>
      </c>
      <c r="L77" s="41" t="s">
        <v>190</v>
      </c>
      <c r="M77" s="22">
        <v>42248</v>
      </c>
      <c r="N77" s="31">
        <v>42278</v>
      </c>
      <c r="O77" s="41" t="s">
        <v>191</v>
      </c>
      <c r="P77" s="32" t="s">
        <v>53</v>
      </c>
      <c r="Q77" s="16" t="s">
        <v>43</v>
      </c>
    </row>
    <row r="78" spans="1:17" s="38" customFormat="1" ht="89.25" x14ac:dyDescent="0.25">
      <c r="A78" s="34">
        <v>66</v>
      </c>
      <c r="B78" s="15" t="s">
        <v>170</v>
      </c>
      <c r="C78" s="16">
        <v>4540113</v>
      </c>
      <c r="D78" s="25" t="s">
        <v>124</v>
      </c>
      <c r="E78" s="42" t="s">
        <v>192</v>
      </c>
      <c r="F78" s="16">
        <v>876</v>
      </c>
      <c r="G78" s="16" t="s">
        <v>47</v>
      </c>
      <c r="H78" s="16">
        <v>1</v>
      </c>
      <c r="I78" s="16">
        <v>14235000</v>
      </c>
      <c r="J78" s="25" t="s">
        <v>79</v>
      </c>
      <c r="K78" s="52">
        <f>2158589*1.25</f>
        <v>2698236.25</v>
      </c>
      <c r="L78" s="41" t="s">
        <v>193</v>
      </c>
      <c r="M78" s="22">
        <v>42278</v>
      </c>
      <c r="N78" s="31">
        <v>42309</v>
      </c>
      <c r="O78" s="41" t="s">
        <v>194</v>
      </c>
      <c r="P78" s="32" t="s">
        <v>53</v>
      </c>
      <c r="Q78" s="16" t="s">
        <v>43</v>
      </c>
    </row>
    <row r="79" spans="1:17" ht="89.25" x14ac:dyDescent="0.25">
      <c r="A79" s="34">
        <v>67</v>
      </c>
      <c r="B79" s="15" t="s">
        <v>195</v>
      </c>
      <c r="C79" s="25" t="s">
        <v>196</v>
      </c>
      <c r="D79" s="25" t="s">
        <v>124</v>
      </c>
      <c r="E79" s="42" t="s">
        <v>197</v>
      </c>
      <c r="F79" s="16">
        <v>876</v>
      </c>
      <c r="G79" s="16" t="s">
        <v>47</v>
      </c>
      <c r="H79" s="16">
        <v>1</v>
      </c>
      <c r="I79" s="16">
        <v>14235000</v>
      </c>
      <c r="J79" s="25" t="s">
        <v>79</v>
      </c>
      <c r="K79" s="40">
        <f>700000*1.25</f>
        <v>875000</v>
      </c>
      <c r="L79" s="41" t="s">
        <v>193</v>
      </c>
      <c r="M79" s="22">
        <v>42278</v>
      </c>
      <c r="N79" s="31">
        <v>42309</v>
      </c>
      <c r="O79" s="41" t="s">
        <v>198</v>
      </c>
      <c r="P79" s="32" t="s">
        <v>53</v>
      </c>
      <c r="Q79" s="16" t="s">
        <v>43</v>
      </c>
    </row>
    <row r="80" spans="1:17" x14ac:dyDescent="0.25">
      <c r="K80" s="62">
        <f>SUM(K15:K79)</f>
        <v>657733961.53350008</v>
      </c>
    </row>
    <row r="1038263" spans="12:12" x14ac:dyDescent="0.25">
      <c r="L1038263" s="1" t="s">
        <v>199</v>
      </c>
    </row>
  </sheetData>
  <customSheetViews>
    <customSheetView guid="{59B74895-9D80-4BBE-A8CB-AE93D35D3558}" hiddenColumns="1">
      <selection activeCell="D11" sqref="D11:D14"/>
      <pageMargins left="0.7" right="0.7" top="0.75" bottom="0.75" header="0.3" footer="0.3"/>
    </customSheetView>
    <customSheetView guid="{C7296768-FCE0-48A0-8F7E-45ABAD27CDA0}" showPageBreaks="1" fitToPage="1" hiddenColumns="1" topLeftCell="A19">
      <selection activeCell="E28" sqref="E28"/>
      <pageMargins left="0.23622047244094491" right="0.23622047244094491" top="0.74803149606299213" bottom="0.35433070866141736" header="0.31496062992125984" footer="0"/>
      <pageSetup paperSize="9" scale="74" fitToHeight="0" orientation="landscape" r:id="rId1"/>
    </customSheetView>
  </customSheetViews>
  <mergeCells count="16">
    <mergeCell ref="Q11:Q14"/>
    <mergeCell ref="I12:I14"/>
    <mergeCell ref="J12:J14"/>
    <mergeCell ref="B11:B14"/>
    <mergeCell ref="C11:C14"/>
    <mergeCell ref="D11:D14"/>
    <mergeCell ref="E11:E14"/>
    <mergeCell ref="F11:G11"/>
    <mergeCell ref="H11:H14"/>
    <mergeCell ref="F12:F14"/>
    <mergeCell ref="G12:G14"/>
    <mergeCell ref="I11:J11"/>
    <mergeCell ref="K11:K14"/>
    <mergeCell ref="M11:N11"/>
    <mergeCell ref="O11:O14"/>
    <mergeCell ref="P11:P14"/>
  </mergeCells>
  <hyperlinks>
    <hyperlink ref="E6" r:id="rId2"/>
  </hyperlinks>
  <pageMargins left="0.23622047244094491" right="0.23622047244094491" top="0.74803149606299213" bottom="0.35433070866141736" header="0.31496062992125984" footer="0"/>
  <pageSetup paperSize="9" scale="74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cols>
    <col min="1" max="1" width="90.85546875" customWidth="1"/>
  </cols>
  <sheetData>
    <row r="1" spans="1:1" ht="18.75" x14ac:dyDescent="0.3">
      <c r="A1" s="63" t="s">
        <v>202</v>
      </c>
    </row>
    <row r="2" spans="1:1" ht="18.75" x14ac:dyDescent="0.3">
      <c r="A2" s="64" t="s">
        <v>204</v>
      </c>
    </row>
    <row r="3" spans="1:1" ht="37.5" x14ac:dyDescent="0.3">
      <c r="A3" s="64" t="s">
        <v>203</v>
      </c>
    </row>
  </sheetData>
  <customSheetViews>
    <customSheetView guid="{C7296768-FCE0-48A0-8F7E-45ABAD27CDA0}" showPageBreaks="1">
      <selection activeCell="A7" sqref="A7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</vt:lpstr>
      <vt:lpstr>Изменения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Мякиева</dc:creator>
  <cp:lastModifiedBy>Инна Мякиева</cp:lastModifiedBy>
  <cp:lastPrinted>2014-12-05T08:14:33Z</cp:lastPrinted>
  <dcterms:created xsi:type="dcterms:W3CDTF">2014-10-08T13:10:27Z</dcterms:created>
  <dcterms:modified xsi:type="dcterms:W3CDTF">2014-12-05T09:17:01Z</dcterms:modified>
</cp:coreProperties>
</file>